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2_230426_第12回目\02_HP作成\掲載素材\03_年齢３区分別人口の推移（全国・北海道）\"/>
    </mc:Choice>
  </mc:AlternateContent>
  <bookViews>
    <workbookView xWindow="0" yWindow="0" windowWidth="19200" windowHeight="6975"/>
  </bookViews>
  <sheets>
    <sheet name="03" sheetId="62" r:id="rId1"/>
  </sheets>
  <definedNames>
    <definedName name="_Fill" localSheetId="0" hidden="1">#REF!</definedName>
    <definedName name="_Fill" hidden="1">#REF!</definedName>
    <definedName name="_Order1" hidden="1">255</definedName>
    <definedName name="_xlnm.Print_Area" localSheetId="0">'03'!$A$1:$W$56</definedName>
  </definedNames>
  <calcPr calcId="162913"/>
</workbook>
</file>

<file path=xl/calcChain.xml><?xml version="1.0" encoding="utf-8"?>
<calcChain xmlns="http://schemas.openxmlformats.org/spreadsheetml/2006/main">
  <c r="S46" i="62" l="1"/>
  <c r="S44" i="62"/>
  <c r="S42" i="62"/>
  <c r="S45" i="62"/>
  <c r="S43" i="62"/>
  <c r="S41" i="62"/>
  <c r="N46" i="62"/>
  <c r="N44" i="62"/>
  <c r="N42" i="62"/>
  <c r="N45" i="62"/>
  <c r="N43" i="62"/>
  <c r="N41" i="62"/>
  <c r="I46" i="62"/>
  <c r="I44" i="62"/>
  <c r="I43" i="62"/>
  <c r="I42" i="62"/>
  <c r="I45" i="62"/>
  <c r="I41" i="62"/>
  <c r="D46" i="62"/>
  <c r="D44" i="62"/>
  <c r="D42" i="62"/>
  <c r="D45" i="62"/>
  <c r="D43" i="62"/>
  <c r="D41" i="62"/>
  <c r="S37" i="62"/>
  <c r="S35" i="62"/>
  <c r="S33" i="62"/>
  <c r="S36" i="62"/>
  <c r="S34" i="62"/>
  <c r="S32" i="62"/>
  <c r="N37" i="62"/>
  <c r="N35" i="62"/>
  <c r="N33" i="62"/>
  <c r="N36" i="62"/>
  <c r="N34" i="62"/>
  <c r="N32" i="62"/>
  <c r="I37" i="62"/>
  <c r="I35" i="62"/>
  <c r="I33" i="62"/>
  <c r="I36" i="62"/>
  <c r="I34" i="62"/>
  <c r="I32" i="62"/>
  <c r="D37" i="62"/>
  <c r="D35" i="62"/>
  <c r="D33" i="62"/>
  <c r="D36" i="62"/>
  <c r="D34" i="62"/>
  <c r="D32" i="62"/>
  <c r="S27" i="62"/>
  <c r="S25" i="62"/>
  <c r="S23" i="62"/>
  <c r="I27" i="62"/>
  <c r="I25" i="62"/>
  <c r="I23" i="62"/>
  <c r="D27" i="62"/>
  <c r="D25" i="62"/>
  <c r="D23" i="62"/>
  <c r="S19" i="62"/>
  <c r="S17" i="62"/>
  <c r="S15" i="62"/>
  <c r="S18" i="62"/>
  <c r="S16" i="62"/>
  <c r="S14" i="62"/>
  <c r="N19" i="62"/>
  <c r="N18" i="62"/>
  <c r="N17" i="62"/>
  <c r="N16" i="62"/>
  <c r="N14" i="62"/>
  <c r="D19" i="62"/>
  <c r="D17" i="62"/>
  <c r="D15" i="62"/>
  <c r="D18" i="62"/>
  <c r="D16" i="62"/>
  <c r="D14" i="62"/>
  <c r="N27" i="62" l="1"/>
  <c r="N25" i="62"/>
  <c r="N23" i="62"/>
  <c r="I18" i="62"/>
  <c r="I16" i="62"/>
  <c r="I14" i="62"/>
  <c r="S9" i="62"/>
  <c r="S7" i="62"/>
  <c r="S5" i="62"/>
  <c r="N9" i="62"/>
  <c r="N7" i="62"/>
  <c r="N5" i="62"/>
  <c r="I9" i="62"/>
  <c r="I7" i="62"/>
  <c r="I5" i="62"/>
  <c r="D9" i="62"/>
  <c r="D7" i="62"/>
  <c r="D5" i="62"/>
  <c r="R45" i="62" l="1"/>
  <c r="R43" i="62"/>
  <c r="R41" i="62"/>
  <c r="Q45" i="62"/>
  <c r="Q43" i="62"/>
  <c r="Q41" i="62"/>
  <c r="P45" i="62"/>
  <c r="P43" i="62"/>
  <c r="P41" i="62"/>
  <c r="O45" i="62"/>
  <c r="O43" i="62"/>
  <c r="O42" i="62"/>
  <c r="O41" i="62"/>
  <c r="M45" i="62"/>
  <c r="M43" i="62"/>
  <c r="M41" i="62"/>
  <c r="L45" i="62"/>
  <c r="L43" i="62"/>
  <c r="L41" i="62"/>
  <c r="K45" i="62"/>
  <c r="K43" i="62"/>
  <c r="K41" i="62"/>
  <c r="J45" i="62"/>
  <c r="J43" i="62"/>
  <c r="J41" i="62"/>
  <c r="H45" i="62"/>
  <c r="H43" i="62"/>
  <c r="H41" i="62"/>
  <c r="G45" i="62"/>
  <c r="G43" i="62"/>
  <c r="G41" i="62"/>
  <c r="F45" i="62"/>
  <c r="F43" i="62"/>
  <c r="F41" i="62"/>
  <c r="E45" i="62"/>
  <c r="E43" i="62"/>
  <c r="E41" i="62"/>
  <c r="W36" i="62"/>
  <c r="W34" i="62"/>
  <c r="W32" i="62"/>
  <c r="V36" i="62"/>
  <c r="V34" i="62"/>
  <c r="V32" i="62"/>
  <c r="U36" i="62"/>
  <c r="U34" i="62"/>
  <c r="U32" i="62"/>
  <c r="T36" i="62"/>
  <c r="T34" i="62"/>
  <c r="T32" i="62"/>
  <c r="O27" i="62"/>
  <c r="O25" i="62"/>
  <c r="O23" i="62"/>
  <c r="P27" i="62"/>
  <c r="P25" i="62"/>
  <c r="P23" i="62"/>
  <c r="Q27" i="62"/>
  <c r="Q25" i="62"/>
  <c r="Q23" i="62"/>
  <c r="R27" i="62"/>
  <c r="R25" i="62"/>
  <c r="R23" i="62"/>
  <c r="T27" i="62"/>
  <c r="T25" i="62"/>
  <c r="T23" i="62"/>
  <c r="U27" i="62"/>
  <c r="U25" i="62"/>
  <c r="U23" i="62"/>
  <c r="V27" i="62"/>
  <c r="V25" i="62"/>
  <c r="V23" i="62"/>
  <c r="W27" i="62"/>
  <c r="W25" i="62"/>
  <c r="W23" i="62"/>
  <c r="E36" i="62"/>
  <c r="E34" i="62"/>
  <c r="E32" i="62"/>
  <c r="R36" i="62"/>
  <c r="R34" i="62"/>
  <c r="R32" i="62"/>
  <c r="Q36" i="62"/>
  <c r="Q34" i="62"/>
  <c r="Q32" i="62"/>
  <c r="P36" i="62"/>
  <c r="P34" i="62"/>
  <c r="P32" i="62"/>
  <c r="O36" i="62"/>
  <c r="O34" i="62"/>
  <c r="O33" i="62"/>
  <c r="O32" i="62"/>
  <c r="M36" i="62"/>
  <c r="M34" i="62"/>
  <c r="M32" i="62"/>
  <c r="L36" i="62"/>
  <c r="L34" i="62"/>
  <c r="L32" i="62"/>
  <c r="K36" i="62"/>
  <c r="K34" i="62"/>
  <c r="K32" i="62"/>
  <c r="J36" i="62"/>
  <c r="J34" i="62"/>
  <c r="J32" i="62"/>
  <c r="H37" i="62"/>
  <c r="H36" i="62"/>
  <c r="H35" i="62"/>
  <c r="H34" i="62"/>
  <c r="H33" i="62"/>
  <c r="H32" i="62"/>
  <c r="G37" i="62"/>
  <c r="G36" i="62"/>
  <c r="G35" i="62"/>
  <c r="G34" i="62"/>
  <c r="G33" i="62"/>
  <c r="G32" i="62"/>
  <c r="F36" i="62"/>
  <c r="F34" i="62"/>
  <c r="F32" i="62"/>
  <c r="R35" i="62"/>
  <c r="R46" i="62" l="1"/>
  <c r="R44" i="62"/>
  <c r="R42" i="62"/>
  <c r="Q46" i="62"/>
  <c r="Q44" i="62"/>
  <c r="Q42" i="62"/>
  <c r="P46" i="62"/>
  <c r="P44" i="62"/>
  <c r="P42" i="62"/>
  <c r="O46" i="62"/>
  <c r="O44" i="62"/>
  <c r="M46" i="62"/>
  <c r="M44" i="62"/>
  <c r="M42" i="62"/>
  <c r="L46" i="62"/>
  <c r="L44" i="62"/>
  <c r="L42" i="62"/>
  <c r="K46" i="62"/>
  <c r="K44" i="62"/>
  <c r="K42" i="62"/>
  <c r="J46" i="62"/>
  <c r="J44" i="62"/>
  <c r="J42" i="62"/>
  <c r="H46" i="62"/>
  <c r="H44" i="62"/>
  <c r="H42" i="62"/>
  <c r="G46" i="62"/>
  <c r="G44" i="62"/>
  <c r="G42" i="62"/>
  <c r="F46" i="62"/>
  <c r="F44" i="62"/>
  <c r="F42" i="62"/>
  <c r="E46" i="62"/>
  <c r="E44" i="62"/>
  <c r="E42" i="62"/>
  <c r="W37" i="62"/>
  <c r="W35" i="62"/>
  <c r="W33" i="62"/>
  <c r="V37" i="62"/>
  <c r="V35" i="62"/>
  <c r="V33" i="62"/>
  <c r="U37" i="62"/>
  <c r="U35" i="62"/>
  <c r="U33" i="62"/>
  <c r="T37" i="62"/>
  <c r="T35" i="62"/>
  <c r="T33" i="62"/>
  <c r="R37" i="62"/>
  <c r="R33" i="62"/>
  <c r="Q37" i="62"/>
  <c r="Q35" i="62"/>
  <c r="Q33" i="62"/>
  <c r="P37" i="62"/>
  <c r="P35" i="62"/>
  <c r="P33" i="62"/>
  <c r="O37" i="62"/>
  <c r="O35" i="62"/>
  <c r="M37" i="62"/>
  <c r="M35" i="62"/>
  <c r="M33" i="62"/>
  <c r="L37" i="62"/>
  <c r="L35" i="62"/>
  <c r="L33" i="62"/>
  <c r="K37" i="62"/>
  <c r="K35" i="62"/>
  <c r="K33" i="62"/>
  <c r="J33" i="62"/>
  <c r="J35" i="62"/>
  <c r="J37" i="62"/>
  <c r="F37" i="62"/>
  <c r="F35" i="62"/>
  <c r="F33" i="62"/>
  <c r="E37" i="62"/>
  <c r="E35" i="62"/>
  <c r="E33" i="62"/>
  <c r="W28" i="62"/>
  <c r="W26" i="62"/>
  <c r="W24" i="62"/>
  <c r="V24" i="62"/>
  <c r="V28" i="62"/>
  <c r="V26" i="62"/>
  <c r="U28" i="62"/>
  <c r="U26" i="62"/>
  <c r="U24" i="62"/>
  <c r="T28" i="62"/>
  <c r="T26" i="62"/>
  <c r="T24" i="62"/>
  <c r="R28" i="62"/>
  <c r="R26" i="62"/>
  <c r="R24" i="62"/>
  <c r="Q28" i="62"/>
  <c r="Q26" i="62"/>
  <c r="Q24" i="62"/>
  <c r="P28" i="62"/>
  <c r="P26" i="62"/>
  <c r="P24" i="62"/>
  <c r="O28" i="62"/>
  <c r="O26" i="62"/>
  <c r="O24" i="62"/>
  <c r="S28" i="62" l="1"/>
  <c r="N28" i="62"/>
  <c r="S26" i="62"/>
  <c r="N26" i="62"/>
  <c r="S24" i="62"/>
  <c r="N24" i="62"/>
  <c r="I28" i="62"/>
  <c r="D28" i="62"/>
  <c r="I26" i="62"/>
  <c r="D26" i="62"/>
  <c r="I24" i="62"/>
  <c r="D24" i="62"/>
  <c r="I19" i="62"/>
  <c r="I17" i="62"/>
  <c r="N15" i="62"/>
  <c r="I15" i="62"/>
  <c r="S10" i="62"/>
  <c r="N10" i="62"/>
  <c r="I10" i="62"/>
  <c r="D10" i="62"/>
  <c r="S8" i="62"/>
  <c r="N8" i="62"/>
  <c r="I8" i="62"/>
  <c r="D8" i="62"/>
  <c r="S6" i="62"/>
  <c r="N6" i="62"/>
  <c r="I6" i="62"/>
  <c r="D6" i="62"/>
</calcChain>
</file>

<file path=xl/sharedStrings.xml><?xml version="1.0" encoding="utf-8"?>
<sst xmlns="http://schemas.openxmlformats.org/spreadsheetml/2006/main" count="503" uniqueCount="218">
  <si>
    <t>大正９年</t>
  </si>
  <si>
    <t>大正10年</t>
  </si>
  <si>
    <t>大正11年</t>
  </si>
  <si>
    <t>大正12年</t>
  </si>
  <si>
    <t>大正13年</t>
  </si>
  <si>
    <t>大正14年</t>
  </si>
  <si>
    <t>大正15年</t>
  </si>
  <si>
    <t>昭和２年</t>
  </si>
  <si>
    <t>昭和３年</t>
  </si>
  <si>
    <t>昭和４年</t>
  </si>
  <si>
    <t>昭和５年</t>
  </si>
  <si>
    <t>昭和６年</t>
  </si>
  <si>
    <t>昭和７年</t>
  </si>
  <si>
    <t>昭和８年</t>
  </si>
  <si>
    <t>昭和９年</t>
  </si>
  <si>
    <t>昭和11年</t>
  </si>
  <si>
    <t>昭和13年</t>
  </si>
  <si>
    <t>昭和15年</t>
  </si>
  <si>
    <t>昭和16年</t>
  </si>
  <si>
    <t>昭和17年</t>
  </si>
  <si>
    <t>昭和19年</t>
  </si>
  <si>
    <t>昭和20年</t>
  </si>
  <si>
    <t>昭和21年</t>
  </si>
  <si>
    <t>昭和22年</t>
  </si>
  <si>
    <t>昭和23年</t>
  </si>
  <si>
    <t>昭和24年</t>
  </si>
  <si>
    <t>昭和25年</t>
  </si>
  <si>
    <t>昭和26年</t>
  </si>
  <si>
    <t>昭和27年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</si>
  <si>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</si>
  <si>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</si>
  <si>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</si>
  <si>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</si>
  <si>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</si>
  <si>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</si>
  <si>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</si>
  <si>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</si>
  <si>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</si>
  <si>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</si>
  <si>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</si>
  <si>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</si>
  <si>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</si>
  <si>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</si>
  <si>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</si>
  <si>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昭和45年</t>
  </si>
  <si>
    <t>昭和46年</t>
  </si>
  <si>
    <t>昭和47年</t>
  </si>
  <si>
    <t>昭和48年</t>
  </si>
  <si>
    <t>昭和49年</t>
  </si>
  <si>
    <t>昭和53年</t>
  </si>
  <si>
    <t>昭和54年</t>
  </si>
  <si>
    <t>昭和55年</t>
  </si>
  <si>
    <t>昭和58年</t>
  </si>
  <si>
    <t>昭和59年</t>
  </si>
  <si>
    <t>昭和61年</t>
  </si>
  <si>
    <t>昭和62年</t>
  </si>
  <si>
    <t>昭和63年</t>
  </si>
  <si>
    <t>平成２年</t>
  </si>
  <si>
    <t>平成４年</t>
  </si>
  <si>
    <t>平成５年</t>
  </si>
  <si>
    <t>平成６年</t>
  </si>
  <si>
    <t>平成７年</t>
  </si>
  <si>
    <t>平成８年</t>
  </si>
  <si>
    <t>平成９年</t>
  </si>
  <si>
    <t>平成12年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</si>
  <si>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</si>
  <si>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</si>
  <si>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</si>
  <si>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</si>
  <si>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</si>
  <si>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</si>
  <si>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</si>
  <si>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</si>
  <si>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</si>
  <si>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</si>
  <si>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</si>
  <si>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1920年</t>
    <rPh sb="4" eb="5">
      <t>ネン</t>
    </rPh>
    <phoneticPr fontId="2"/>
  </si>
  <si>
    <t>1925年</t>
    <rPh sb="4" eb="5">
      <t>ネン</t>
    </rPh>
    <phoneticPr fontId="2"/>
  </si>
  <si>
    <t>1930年</t>
    <rPh sb="4" eb="5">
      <t>ネン</t>
    </rPh>
    <phoneticPr fontId="2"/>
  </si>
  <si>
    <t>1935年</t>
    <rPh sb="4" eb="5">
      <t>ネン</t>
    </rPh>
    <phoneticPr fontId="2"/>
  </si>
  <si>
    <t>1940年</t>
    <rPh sb="4" eb="5">
      <t>ネン</t>
    </rPh>
    <phoneticPr fontId="2"/>
  </si>
  <si>
    <t>1945年</t>
    <rPh sb="4" eb="5">
      <t>ネン</t>
    </rPh>
    <phoneticPr fontId="2"/>
  </si>
  <si>
    <t>1950年</t>
    <rPh sb="4" eb="5">
      <t>ネン</t>
    </rPh>
    <phoneticPr fontId="2"/>
  </si>
  <si>
    <t>1955年</t>
    <rPh sb="4" eb="5">
      <t>ネン</t>
    </rPh>
    <phoneticPr fontId="2"/>
  </si>
  <si>
    <t>1960年</t>
    <rPh sb="4" eb="5">
      <t>ネン</t>
    </rPh>
    <phoneticPr fontId="2"/>
  </si>
  <si>
    <t>1965年</t>
    <rPh sb="4" eb="5">
      <t>ネン</t>
    </rPh>
    <phoneticPr fontId="2"/>
  </si>
  <si>
    <t>1970年</t>
    <rPh sb="4" eb="5">
      <t>ネン</t>
    </rPh>
    <phoneticPr fontId="2"/>
  </si>
  <si>
    <t>1975年</t>
    <rPh sb="4" eb="5">
      <t>ネン</t>
    </rPh>
    <phoneticPr fontId="2"/>
  </si>
  <si>
    <t>1980年</t>
    <rPh sb="4" eb="5">
      <t>ネン</t>
    </rPh>
    <phoneticPr fontId="2"/>
  </si>
  <si>
    <t>1985年</t>
    <rPh sb="4" eb="5">
      <t>ネン</t>
    </rPh>
    <phoneticPr fontId="2"/>
  </si>
  <si>
    <t>1990年</t>
    <rPh sb="4" eb="5">
      <t>ネン</t>
    </rPh>
    <phoneticPr fontId="2"/>
  </si>
  <si>
    <t>1995年</t>
    <rPh sb="4" eb="5">
      <t>ネン</t>
    </rPh>
    <phoneticPr fontId="2"/>
  </si>
  <si>
    <t>2000年</t>
    <rPh sb="4" eb="5">
      <t>ネン</t>
    </rPh>
    <phoneticPr fontId="2"/>
  </si>
  <si>
    <t>2005年</t>
    <rPh sb="4" eb="5">
      <t>ネン</t>
    </rPh>
    <phoneticPr fontId="2"/>
  </si>
  <si>
    <t>2010年</t>
    <rPh sb="4" eb="5">
      <t>ネン</t>
    </rPh>
    <phoneticPr fontId="2"/>
  </si>
  <si>
    <t>年少人口
(0～14歳)</t>
    <rPh sb="0" eb="2">
      <t>ネンショウ</t>
    </rPh>
    <rPh sb="2" eb="4">
      <t>ジンコウ</t>
    </rPh>
    <rPh sb="10" eb="11">
      <t>サイ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</si>
  <si>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</si>
  <si>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</si>
  <si>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生産年齢人口
(15～64歳)</t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</si>
  <si>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t>1961年</t>
    <rPh sb="4" eb="5">
      <t>ネン</t>
    </rPh>
    <phoneticPr fontId="2"/>
  </si>
  <si>
    <t>1962年</t>
    <rPh sb="4" eb="5">
      <t>ネン</t>
    </rPh>
    <phoneticPr fontId="2"/>
  </si>
  <si>
    <t>1963年</t>
    <rPh sb="4" eb="5">
      <t>ネン</t>
    </rPh>
    <phoneticPr fontId="2"/>
  </si>
  <si>
    <t>1964年</t>
    <rPh sb="4" eb="5">
      <t>ネン</t>
    </rPh>
    <phoneticPr fontId="2"/>
  </si>
  <si>
    <t>1966年</t>
    <rPh sb="4" eb="5">
      <t>ネン</t>
    </rPh>
    <phoneticPr fontId="2"/>
  </si>
  <si>
    <t>1967年</t>
    <rPh sb="4" eb="5">
      <t>ネン</t>
    </rPh>
    <phoneticPr fontId="2"/>
  </si>
  <si>
    <t>1968年</t>
    <rPh sb="4" eb="5">
      <t>ネン</t>
    </rPh>
    <phoneticPr fontId="2"/>
  </si>
  <si>
    <t>1969年</t>
    <rPh sb="4" eb="5">
      <t>ネン</t>
    </rPh>
    <phoneticPr fontId="2"/>
  </si>
  <si>
    <t>1971年</t>
    <rPh sb="4" eb="5">
      <t>ネン</t>
    </rPh>
    <phoneticPr fontId="2"/>
  </si>
  <si>
    <t>1972年</t>
    <rPh sb="4" eb="5">
      <t>ネン</t>
    </rPh>
    <phoneticPr fontId="2"/>
  </si>
  <si>
    <t>1973年</t>
    <rPh sb="4" eb="5">
      <t>ネン</t>
    </rPh>
    <phoneticPr fontId="2"/>
  </si>
  <si>
    <t>1974年</t>
    <rPh sb="4" eb="5">
      <t>ネン</t>
    </rPh>
    <phoneticPr fontId="2"/>
  </si>
  <si>
    <t>1976年</t>
    <rPh sb="4" eb="5">
      <t>ネン</t>
    </rPh>
    <phoneticPr fontId="2"/>
  </si>
  <si>
    <t>1977年</t>
    <rPh sb="4" eb="5">
      <t>ネン</t>
    </rPh>
    <phoneticPr fontId="2"/>
  </si>
  <si>
    <t>1978年</t>
    <rPh sb="4" eb="5">
      <t>ネン</t>
    </rPh>
    <phoneticPr fontId="2"/>
  </si>
  <si>
    <t>1979年</t>
    <rPh sb="4" eb="5">
      <t>ネン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</si>
  <si>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</si>
  <si>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</si>
  <si>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</si>
  <si>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</si>
  <si>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</si>
  <si>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</si>
  <si>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1988年</t>
    <rPh sb="4" eb="5">
      <t>ネン</t>
    </rPh>
    <phoneticPr fontId="2"/>
  </si>
  <si>
    <t>1989年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</si>
  <si>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</si>
  <si>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</si>
  <si>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</si>
  <si>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</si>
  <si>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</si>
  <si>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</si>
  <si>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</si>
  <si>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</si>
  <si>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</si>
  <si>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</si>
  <si>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</si>
  <si>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</si>
  <si>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</si>
  <si>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</si>
  <si>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</si>
  <si>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</si>
  <si>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</si>
  <si>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</si>
  <si>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</si>
  <si>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</si>
  <si>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平成26年</t>
  </si>
  <si>
    <t>平成27年</t>
  </si>
  <si>
    <t>平成28年</t>
  </si>
  <si>
    <t>平成29年</t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</si>
  <si>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</si>
  <si>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</si>
  <si>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</si>
  <si>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</si>
  <si>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2020年</t>
    <rPh sb="4" eb="5">
      <t>ネン</t>
    </rPh>
    <phoneticPr fontId="2"/>
  </si>
  <si>
    <t>1956年</t>
    <rPh sb="4" eb="5">
      <t>ネン</t>
    </rPh>
    <phoneticPr fontId="2"/>
  </si>
  <si>
    <t>1957年</t>
    <rPh sb="4" eb="5">
      <t>ネン</t>
    </rPh>
    <phoneticPr fontId="2"/>
  </si>
  <si>
    <t>1958年</t>
    <rPh sb="4" eb="5">
      <t>ネン</t>
    </rPh>
    <phoneticPr fontId="2"/>
  </si>
  <si>
    <t>1959年</t>
    <rPh sb="4" eb="5">
      <t>ネン</t>
    </rPh>
    <phoneticPr fontId="2"/>
  </si>
  <si>
    <t>2019年</t>
    <rPh sb="4" eb="5">
      <t>ネン</t>
    </rPh>
    <phoneticPr fontId="2"/>
  </si>
  <si>
    <r>
      <t>昭和1</t>
    </r>
    <r>
      <rPr>
        <sz val="8"/>
        <color theme="1"/>
        <rFont val="HGｺﾞｼｯｸM"/>
        <family val="3"/>
        <charset val="128"/>
      </rPr>
      <t>0</t>
    </r>
    <r>
      <rPr>
        <sz val="8"/>
        <rFont val="HGｺﾞｼｯｸM"/>
        <family val="3"/>
        <charset val="128"/>
      </rPr>
      <t>年</t>
    </r>
  </si>
  <si>
    <t>高齢者人口
(65歳以上)</t>
    <rPh sb="0" eb="3">
      <t>コウレイシャ</t>
    </rPh>
    <rPh sb="3" eb="5">
      <t>ジンコウ</t>
    </rPh>
    <rPh sb="9" eb="10">
      <t>サイ</t>
    </rPh>
    <rPh sb="10" eb="12">
      <t>イジョウ</t>
    </rPh>
    <phoneticPr fontId="2"/>
  </si>
  <si>
    <t>(単位：％)</t>
    <rPh sb="1" eb="3">
      <t>タンイ</t>
    </rPh>
    <phoneticPr fontId="2"/>
  </si>
  <si>
    <t>北海道</t>
    <rPh sb="0" eb="2">
      <t>ホッカイ</t>
    </rPh>
    <rPh sb="2" eb="3">
      <t>ドウ</t>
    </rPh>
    <phoneticPr fontId="2"/>
  </si>
  <si>
    <t>昭和44年</t>
  </si>
  <si>
    <t>昭和50年</t>
  </si>
  <si>
    <t>昭和51年</t>
  </si>
  <si>
    <t>昭和52年</t>
  </si>
  <si>
    <t>昭和60年</t>
  </si>
  <si>
    <t>昭和64年</t>
  </si>
  <si>
    <t>1921年</t>
    <rPh sb="4" eb="5">
      <t>ネン</t>
    </rPh>
    <phoneticPr fontId="2"/>
  </si>
  <si>
    <t>1922年</t>
    <rPh sb="4" eb="5">
      <t>ネン</t>
    </rPh>
    <phoneticPr fontId="2"/>
  </si>
  <si>
    <t>1923年</t>
    <rPh sb="4" eb="5">
      <t>ネン</t>
    </rPh>
    <phoneticPr fontId="2"/>
  </si>
  <si>
    <t>1924年</t>
    <rPh sb="4" eb="5">
      <t>ネン</t>
    </rPh>
    <phoneticPr fontId="2"/>
  </si>
  <si>
    <t>1926年</t>
    <rPh sb="4" eb="5">
      <t>ネン</t>
    </rPh>
    <phoneticPr fontId="2"/>
  </si>
  <si>
    <t>1927年</t>
    <rPh sb="4" eb="5">
      <t>ネン</t>
    </rPh>
    <phoneticPr fontId="2"/>
  </si>
  <si>
    <t>1928年</t>
    <rPh sb="4" eb="5">
      <t>ネン</t>
    </rPh>
    <phoneticPr fontId="2"/>
  </si>
  <si>
    <t>1929年</t>
    <rPh sb="4" eb="5">
      <t>ネン</t>
    </rPh>
    <phoneticPr fontId="2"/>
  </si>
  <si>
    <t>1931年</t>
    <rPh sb="4" eb="5">
      <t>ネン</t>
    </rPh>
    <phoneticPr fontId="2"/>
  </si>
  <si>
    <t>1932年</t>
    <rPh sb="4" eb="5">
      <t>ネン</t>
    </rPh>
    <phoneticPr fontId="2"/>
  </si>
  <si>
    <t>1933年</t>
    <rPh sb="4" eb="5">
      <t>ネン</t>
    </rPh>
    <phoneticPr fontId="2"/>
  </si>
  <si>
    <t>1934年</t>
    <rPh sb="4" eb="5">
      <t>ネン</t>
    </rPh>
    <phoneticPr fontId="2"/>
  </si>
  <si>
    <t>1936年</t>
    <rPh sb="4" eb="5">
      <t>ネン</t>
    </rPh>
    <phoneticPr fontId="2"/>
  </si>
  <si>
    <t>1938年</t>
    <rPh sb="4" eb="5">
      <t>ネン</t>
    </rPh>
    <phoneticPr fontId="2"/>
  </si>
  <si>
    <t>1937年</t>
    <rPh sb="4" eb="5">
      <t>ネン</t>
    </rPh>
    <phoneticPr fontId="2"/>
  </si>
  <si>
    <t>1939年</t>
    <rPh sb="4" eb="5">
      <t>ネン</t>
    </rPh>
    <phoneticPr fontId="2"/>
  </si>
  <si>
    <r>
      <t>昭和12年</t>
    </r>
    <r>
      <rPr>
        <sz val="8"/>
        <rFont val="HGｺﾞｼｯｸM"/>
        <family val="3"/>
        <charset val="128"/>
      </rPr>
      <t/>
    </r>
  </si>
  <si>
    <r>
      <t>昭和14年</t>
    </r>
    <r>
      <rPr>
        <sz val="8"/>
        <rFont val="HGｺﾞｼｯｸM"/>
        <family val="3"/>
        <charset val="128"/>
      </rPr>
      <t/>
    </r>
  </si>
  <si>
    <t>1941年</t>
    <rPh sb="4" eb="5">
      <t>ネン</t>
    </rPh>
    <phoneticPr fontId="2"/>
  </si>
  <si>
    <t>1942年</t>
    <rPh sb="4" eb="5">
      <t>ネン</t>
    </rPh>
    <phoneticPr fontId="2"/>
  </si>
  <si>
    <t>1943年</t>
    <rPh sb="4" eb="5">
      <t>ネン</t>
    </rPh>
    <phoneticPr fontId="2"/>
  </si>
  <si>
    <t>1944年</t>
    <rPh sb="4" eb="5">
      <t>ネン</t>
    </rPh>
    <phoneticPr fontId="2"/>
  </si>
  <si>
    <t>1946年</t>
    <rPh sb="4" eb="5">
      <t>ネン</t>
    </rPh>
    <phoneticPr fontId="2"/>
  </si>
  <si>
    <t>1947年</t>
    <rPh sb="4" eb="5">
      <t>ネン</t>
    </rPh>
    <phoneticPr fontId="2"/>
  </si>
  <si>
    <t>1948年</t>
    <rPh sb="4" eb="5">
      <t>ネン</t>
    </rPh>
    <phoneticPr fontId="2"/>
  </si>
  <si>
    <t>1949年</t>
    <rPh sb="4" eb="5">
      <t>ネン</t>
    </rPh>
    <phoneticPr fontId="2"/>
  </si>
  <si>
    <t>1951年</t>
    <rPh sb="4" eb="5">
      <t>ネン</t>
    </rPh>
    <phoneticPr fontId="2"/>
  </si>
  <si>
    <t>1952年</t>
    <rPh sb="4" eb="5">
      <t>ネン</t>
    </rPh>
    <phoneticPr fontId="2"/>
  </si>
  <si>
    <t>1953年</t>
    <rPh sb="4" eb="5">
      <t>ネン</t>
    </rPh>
    <phoneticPr fontId="2"/>
  </si>
  <si>
    <t>1954年</t>
    <rPh sb="4" eb="5">
      <t>ネン</t>
    </rPh>
    <phoneticPr fontId="2"/>
  </si>
  <si>
    <t>昭和18年</t>
  </si>
  <si>
    <t>昭和28年</t>
  </si>
  <si>
    <t>昭和56年</t>
    <phoneticPr fontId="2"/>
  </si>
  <si>
    <t>昭和57年</t>
    <phoneticPr fontId="2"/>
  </si>
  <si>
    <t>平成３年</t>
    <phoneticPr fontId="2"/>
  </si>
  <si>
    <t>平成10年</t>
    <phoneticPr fontId="2"/>
  </si>
  <si>
    <t>平成11年</t>
    <phoneticPr fontId="2"/>
  </si>
  <si>
    <t>平成13年</t>
    <phoneticPr fontId="2"/>
  </si>
  <si>
    <t>平成14年</t>
    <phoneticPr fontId="2"/>
  </si>
  <si>
    <t>◎年齢3区分別人口割合の推移(全国・北海道)</t>
    <rPh sb="1" eb="3">
      <t>ネンレイ</t>
    </rPh>
    <rPh sb="4" eb="6">
      <t>クブン</t>
    </rPh>
    <rPh sb="6" eb="7">
      <t>ベツ</t>
    </rPh>
    <rPh sb="7" eb="9">
      <t>ジンコウ</t>
    </rPh>
    <rPh sb="9" eb="11">
      <t>ワリアイ</t>
    </rPh>
    <rPh sb="12" eb="14">
      <t>スイイ</t>
    </rPh>
    <rPh sb="15" eb="17">
      <t>ゼンコク</t>
    </rPh>
    <rPh sb="18" eb="21">
      <t>ホッカイドウ</t>
    </rPh>
    <phoneticPr fontId="2"/>
  </si>
  <si>
    <t>-</t>
    <phoneticPr fontId="2"/>
  </si>
  <si>
    <t>-</t>
    <phoneticPr fontId="2"/>
  </si>
  <si>
    <t>-</t>
    <phoneticPr fontId="2"/>
  </si>
  <si>
    <t>総務省｢国勢調査｣｢人口推計｣より北海道にて計算</t>
    <rPh sb="0" eb="3">
      <t>ソウムショウ</t>
    </rPh>
    <rPh sb="4" eb="6">
      <t>コクセイ</t>
    </rPh>
    <rPh sb="6" eb="8">
      <t>チョウサ</t>
    </rPh>
    <rPh sb="10" eb="12">
      <t>ジンコウ</t>
    </rPh>
    <rPh sb="12" eb="14">
      <t>スイケイ</t>
    </rPh>
    <rPh sb="17" eb="20">
      <t>ホッカイドウ</t>
    </rPh>
    <rPh sb="22" eb="24">
      <t>ケイサン</t>
    </rPh>
    <phoneticPr fontId="2"/>
  </si>
  <si>
    <t>平成30年</t>
  </si>
  <si>
    <t>2021年</t>
    <rPh sb="4" eb="5">
      <t>ネン</t>
    </rPh>
    <phoneticPr fontId="2"/>
  </si>
  <si>
    <t>平成31年</t>
  </si>
  <si>
    <t>2022年</t>
    <rPh sb="4" eb="5">
      <t>ネン</t>
    </rPh>
    <phoneticPr fontId="2"/>
  </si>
  <si>
    <t>令和2年</t>
    <rPh sb="0" eb="2">
      <t>レイワ</t>
    </rPh>
    <phoneticPr fontId="2"/>
  </si>
  <si>
    <t>令和3年</t>
    <rPh sb="0" eb="2">
      <t>レイワ</t>
    </rPh>
    <phoneticPr fontId="2"/>
  </si>
  <si>
    <t>令和4年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</si>
</sst>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3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sz val="10"/>
      <name val="HGｺﾞｼｯｸM"/>
      <family val="3"/>
      <charset val="128"/>
    </font>
    <font>
      <b/>
      <sz val="14"/>
      <name val="HGｺﾞｼｯｸM"/>
      <family val="3"/>
      <charset val="128"/>
    </font>
    <font>
      <sz val="8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0"/>
      <color rgb="FF00B0F0"/>
      <name val="HGｺﾞｼｯｸM"/>
      <family val="3"/>
      <charset val="128"/>
    </font>
    <font>
      <sz val="10"/>
      <color rgb="FF00B050"/>
      <name val="HGｺﾞｼｯｸM"/>
      <family val="3"/>
      <charset val="128"/>
    </font>
    <font>
      <sz val="11"/>
      <color rgb="FF00B0F0"/>
      <name val="HGｺﾞｼｯｸM"/>
      <family val="3"/>
      <charset val="128"/>
    </font>
    <font>
      <sz val="10"/>
      <color theme="0" tint="-0.499984740745262"/>
      <name val="HGｺﾞｼｯｸM"/>
      <family val="3"/>
      <charset val="128"/>
    </font>
    <font>
      <sz val="11"/>
      <color theme="0" tint="-0.499984740745262"/>
      <name val="HGｺﾞｼｯｸM"/>
      <family val="3"/>
      <charset val="128"/>
    </font>
    <font>
      <sz val="11"/>
      <color rgb="FF00B050"/>
      <name val="HGｺﾞｼｯｸM"/>
      <family val="3"/>
      <charset val="128"/>
    </font>
    <font>
      <sz val="10"/>
      <color theme="0" tint="-0.34998626667073579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24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sz val="12"/>
      <color rgb="FF00B0F0"/>
      <name val="HGｺﾞｼｯｸM"/>
      <family val="3"/>
      <charset val="128"/>
    </font>
    <font>
      <sz val="12"/>
      <color rgb="FF00B050"/>
      <name val="HGｺﾞｼｯｸM"/>
      <family val="3"/>
      <charset val="128"/>
    </font>
    <font>
      <sz val="12"/>
      <color theme="0" tint="-0.499984740745262"/>
      <name val="HGｺﾞｼｯｸM"/>
      <family val="3"/>
      <charset val="128"/>
    </font>
    <font>
      <sz val="12"/>
      <color theme="0" tint="-0.34998626667073579"/>
      <name val="HGｺﾞｼｯｸM"/>
      <family val="3"/>
      <charset val="128"/>
    </font>
    <font>
      <sz val="8"/>
      <color rgb="FF00B05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</cellStyleXfs>
  <cellXfs count="148">
    <xf numFmtId="0" fontId="0" fillId="0" borderId="0" xfId="0">
      <alignment vertical="center"/>
    </xf>
    <xf numFmtId="9" fontId="9" fillId="0" borderId="0" xfId="1" applyNumberFormat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49" fontId="12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8" fontId="6" fillId="0" borderId="0" xfId="3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14" fillId="0" borderId="27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38" fontId="20" fillId="0" borderId="0" xfId="3" applyFont="1" applyFill="1" applyBorder="1" applyAlignment="1">
      <alignment vertical="center"/>
    </xf>
    <xf numFmtId="0" fontId="15" fillId="0" borderId="30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28" fillId="0" borderId="0" xfId="1" applyFont="1" applyFill="1" applyAlignment="1">
      <alignment vertical="center"/>
    </xf>
    <xf numFmtId="0" fontId="8" fillId="0" borderId="0" xfId="0" applyFont="1" applyFill="1" applyBorder="1" applyAlignment="1">
      <alignment horizontal="right" vertical="top"/>
    </xf>
    <xf numFmtId="0" fontId="15" fillId="0" borderId="36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/>
    </xf>
    <xf numFmtId="177" fontId="30" fillId="2" borderId="22" xfId="3" applyNumberFormat="1" applyFont="1" applyFill="1" applyBorder="1" applyAlignment="1">
      <alignment horizontal="right" vertical="center"/>
    </xf>
    <xf numFmtId="177" fontId="31" fillId="0" borderId="18" xfId="3" applyNumberFormat="1" applyFont="1" applyFill="1" applyBorder="1" applyAlignment="1">
      <alignment vertical="center"/>
    </xf>
    <xf numFmtId="177" fontId="31" fillId="0" borderId="19" xfId="3" applyNumberFormat="1" applyFont="1" applyFill="1" applyBorder="1" applyAlignment="1">
      <alignment horizontal="right" vertical="center"/>
    </xf>
    <xf numFmtId="177" fontId="31" fillId="2" borderId="22" xfId="3" applyNumberFormat="1" applyFont="1" applyFill="1" applyBorder="1" applyAlignment="1">
      <alignment horizontal="right" vertical="center"/>
    </xf>
    <xf numFmtId="177" fontId="32" fillId="2" borderId="8" xfId="3" applyNumberFormat="1" applyFont="1" applyFill="1" applyBorder="1" applyAlignment="1">
      <alignment vertical="center"/>
    </xf>
    <xf numFmtId="177" fontId="31" fillId="0" borderId="19" xfId="3" applyNumberFormat="1" applyFont="1" applyFill="1" applyBorder="1" applyAlignment="1">
      <alignment vertical="center"/>
    </xf>
    <xf numFmtId="177" fontId="32" fillId="2" borderId="9" xfId="3" applyNumberFormat="1" applyFont="1" applyFill="1" applyBorder="1" applyAlignment="1">
      <alignment vertical="center"/>
    </xf>
    <xf numFmtId="177" fontId="32" fillId="2" borderId="9" xfId="3" applyNumberFormat="1" applyFont="1" applyFill="1" applyBorder="1" applyAlignment="1">
      <alignment horizontal="right" vertical="center"/>
    </xf>
    <xf numFmtId="177" fontId="30" fillId="2" borderId="21" xfId="3" applyNumberFormat="1" applyFont="1" applyFill="1" applyBorder="1" applyAlignment="1">
      <alignment horizontal="right" vertical="center"/>
    </xf>
    <xf numFmtId="177" fontId="31" fillId="0" borderId="32" xfId="3" applyNumberFormat="1" applyFont="1" applyFill="1" applyBorder="1" applyAlignment="1">
      <alignment horizontal="right" vertical="center"/>
    </xf>
    <xf numFmtId="177" fontId="31" fillId="2" borderId="21" xfId="3" applyNumberFormat="1" applyFont="1" applyFill="1" applyBorder="1" applyAlignment="1">
      <alignment horizontal="right" vertical="center"/>
    </xf>
    <xf numFmtId="177" fontId="32" fillId="2" borderId="24" xfId="3" applyNumberFormat="1" applyFont="1" applyFill="1" applyBorder="1" applyAlignment="1">
      <alignment horizontal="right" vertical="center"/>
    </xf>
    <xf numFmtId="177" fontId="31" fillId="0" borderId="20" xfId="3" applyNumberFormat="1" applyFont="1" applyFill="1" applyBorder="1" applyAlignment="1">
      <alignment vertical="center"/>
    </xf>
    <xf numFmtId="177" fontId="30" fillId="0" borderId="19" xfId="3" applyNumberFormat="1" applyFont="1" applyFill="1" applyBorder="1" applyAlignment="1">
      <alignment horizontal="center" vertical="center"/>
    </xf>
    <xf numFmtId="176" fontId="30" fillId="2" borderId="22" xfId="0" applyNumberFormat="1" applyFont="1" applyFill="1" applyBorder="1" applyAlignment="1">
      <alignment horizontal="center" vertical="center"/>
    </xf>
    <xf numFmtId="176" fontId="31" fillId="0" borderId="19" xfId="0" applyNumberFormat="1" applyFont="1" applyFill="1" applyBorder="1" applyAlignment="1">
      <alignment horizontal="center" vertical="center"/>
    </xf>
    <xf numFmtId="176" fontId="31" fillId="2" borderId="22" xfId="0" applyNumberFormat="1" applyFont="1" applyFill="1" applyBorder="1" applyAlignment="1">
      <alignment horizontal="center" vertical="center"/>
    </xf>
    <xf numFmtId="176" fontId="32" fillId="2" borderId="9" xfId="0" applyNumberFormat="1" applyFont="1" applyFill="1" applyBorder="1" applyAlignment="1">
      <alignment horizontal="center" vertical="center"/>
    </xf>
    <xf numFmtId="177" fontId="30" fillId="0" borderId="20" xfId="3" applyNumberFormat="1" applyFont="1" applyFill="1" applyBorder="1" applyAlignment="1">
      <alignment horizontal="center" vertical="center"/>
    </xf>
    <xf numFmtId="177" fontId="30" fillId="2" borderId="23" xfId="3" applyNumberFormat="1" applyFont="1" applyFill="1" applyBorder="1" applyAlignment="1">
      <alignment vertical="center"/>
    </xf>
    <xf numFmtId="176" fontId="30" fillId="2" borderId="26" xfId="0" applyNumberFormat="1" applyFont="1" applyFill="1" applyBorder="1" applyAlignment="1">
      <alignment horizontal="center" vertical="center"/>
    </xf>
    <xf numFmtId="176" fontId="31" fillId="0" borderId="20" xfId="0" applyNumberFormat="1" applyFont="1" applyFill="1" applyBorder="1" applyAlignment="1">
      <alignment horizontal="center" vertical="center"/>
    </xf>
    <xf numFmtId="177" fontId="31" fillId="2" borderId="23" xfId="3" applyNumberFormat="1" applyFont="1" applyFill="1" applyBorder="1" applyAlignment="1">
      <alignment horizontal="right" vertical="center"/>
    </xf>
    <xf numFmtId="176" fontId="31" fillId="2" borderId="26" xfId="0" applyNumberFormat="1" applyFont="1" applyFill="1" applyBorder="1" applyAlignment="1">
      <alignment horizontal="center" vertical="center"/>
    </xf>
    <xf numFmtId="176" fontId="32" fillId="2" borderId="10" xfId="0" applyNumberFormat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vertical="center"/>
    </xf>
    <xf numFmtId="177" fontId="30" fillId="2" borderId="22" xfId="3" applyNumberFormat="1" applyFont="1" applyFill="1" applyBorder="1" applyAlignment="1">
      <alignment vertical="center"/>
    </xf>
    <xf numFmtId="177" fontId="30" fillId="2" borderId="26" xfId="3" applyNumberFormat="1" applyFont="1" applyFill="1" applyBorder="1" applyAlignment="1">
      <alignment vertical="center"/>
    </xf>
    <xf numFmtId="177" fontId="30" fillId="0" borderId="39" xfId="3" applyNumberFormat="1" applyFont="1" applyFill="1" applyBorder="1" applyAlignment="1">
      <alignment vertical="center"/>
    </xf>
    <xf numFmtId="177" fontId="30" fillId="0" borderId="38" xfId="3" applyNumberFormat="1" applyFont="1" applyFill="1" applyBorder="1" applyAlignment="1">
      <alignment vertical="center"/>
    </xf>
    <xf numFmtId="177" fontId="31" fillId="2" borderId="22" xfId="3" applyNumberFormat="1" applyFont="1" applyFill="1" applyBorder="1" applyAlignment="1">
      <alignment vertical="center"/>
    </xf>
    <xf numFmtId="177" fontId="31" fillId="2" borderId="40" xfId="3" applyNumberFormat="1" applyFont="1" applyFill="1" applyBorder="1" applyAlignment="1">
      <alignment vertical="center"/>
    </xf>
    <xf numFmtId="177" fontId="31" fillId="2" borderId="26" xfId="3" applyNumberFormat="1" applyFont="1" applyFill="1" applyBorder="1" applyAlignment="1">
      <alignment vertical="center"/>
    </xf>
    <xf numFmtId="177" fontId="33" fillId="2" borderId="9" xfId="3" applyNumberFormat="1" applyFont="1" applyFill="1" applyBorder="1" applyAlignment="1">
      <alignment vertical="center"/>
    </xf>
    <xf numFmtId="177" fontId="33" fillId="2" borderId="10" xfId="3" applyNumberFormat="1" applyFont="1" applyFill="1" applyBorder="1" applyAlignment="1">
      <alignment vertical="center"/>
    </xf>
    <xf numFmtId="177" fontId="30" fillId="0" borderId="39" xfId="3" applyNumberFormat="1" applyFont="1" applyFill="1" applyBorder="1" applyAlignment="1">
      <alignment horizontal="right" vertical="center"/>
    </xf>
    <xf numFmtId="177" fontId="32" fillId="2" borderId="9" xfId="3" applyNumberFormat="1" applyFont="1" applyFill="1" applyBorder="1" applyAlignment="1">
      <alignment horizontal="center" vertical="center"/>
    </xf>
    <xf numFmtId="177" fontId="32" fillId="2" borderId="10" xfId="3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vertical="center"/>
    </xf>
    <xf numFmtId="177" fontId="33" fillId="0" borderId="19" xfId="3" applyNumberFormat="1" applyFont="1" applyFill="1" applyBorder="1" applyAlignment="1">
      <alignment horizontal="right" vertical="center"/>
    </xf>
    <xf numFmtId="176" fontId="33" fillId="0" borderId="19" xfId="0" applyNumberFormat="1" applyFont="1" applyFill="1" applyBorder="1" applyAlignment="1">
      <alignment horizontal="center" vertical="center"/>
    </xf>
    <xf numFmtId="177" fontId="33" fillId="0" borderId="32" xfId="3" applyNumberFormat="1" applyFont="1" applyFill="1" applyBorder="1" applyAlignment="1">
      <alignment horizontal="right" vertical="center"/>
    </xf>
    <xf numFmtId="177" fontId="33" fillId="0" borderId="19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77" fontId="33" fillId="0" borderId="18" xfId="3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horizontal="center" vertical="center"/>
    </xf>
    <xf numFmtId="177" fontId="33" fillId="0" borderId="18" xfId="3" applyNumberFormat="1" applyFont="1" applyFill="1" applyBorder="1" applyAlignment="1">
      <alignment horizontal="right" vertical="center"/>
    </xf>
    <xf numFmtId="177" fontId="33" fillId="0" borderId="19" xfId="3" applyNumberFormat="1" applyFont="1" applyFill="1" applyBorder="1" applyAlignment="1">
      <alignment horizontal="center" vertical="center"/>
    </xf>
    <xf numFmtId="177" fontId="33" fillId="0" borderId="20" xfId="3" applyNumberFormat="1" applyFont="1" applyFill="1" applyBorder="1" applyAlignment="1">
      <alignment horizontal="center" vertical="center"/>
    </xf>
    <xf numFmtId="177" fontId="30" fillId="0" borderId="18" xfId="3" applyNumberFormat="1" applyFont="1" applyFill="1" applyBorder="1" applyAlignment="1">
      <alignment vertical="center"/>
    </xf>
    <xf numFmtId="177" fontId="30" fillId="0" borderId="19" xfId="3" applyNumberFormat="1" applyFont="1" applyFill="1" applyBorder="1" applyAlignment="1">
      <alignment vertical="center"/>
    </xf>
    <xf numFmtId="177" fontId="30" fillId="0" borderId="32" xfId="3" applyNumberFormat="1" applyFont="1" applyFill="1" applyBorder="1" applyAlignment="1">
      <alignment vertical="center"/>
    </xf>
    <xf numFmtId="177" fontId="30" fillId="0" borderId="41" xfId="3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top"/>
    </xf>
    <xf numFmtId="177" fontId="30" fillId="0" borderId="47" xfId="3" applyNumberFormat="1" applyFont="1" applyFill="1" applyBorder="1" applyAlignment="1">
      <alignment horizontal="right" vertical="center"/>
    </xf>
    <xf numFmtId="177" fontId="30" fillId="2" borderId="48" xfId="3" applyNumberFormat="1" applyFont="1" applyFill="1" applyBorder="1" applyAlignment="1">
      <alignment horizontal="right" vertical="center"/>
    </xf>
    <xf numFmtId="177" fontId="31" fillId="0" borderId="49" xfId="3" applyNumberFormat="1" applyFont="1" applyFill="1" applyBorder="1" applyAlignment="1">
      <alignment horizontal="right" vertical="center"/>
    </xf>
    <xf numFmtId="177" fontId="31" fillId="2" borderId="48" xfId="3" applyNumberFormat="1" applyFont="1" applyFill="1" applyBorder="1" applyAlignment="1">
      <alignment vertical="center"/>
    </xf>
    <xf numFmtId="177" fontId="33" fillId="0" borderId="49" xfId="3" applyNumberFormat="1" applyFont="1" applyFill="1" applyBorder="1" applyAlignment="1">
      <alignment horizontal="right" vertical="center"/>
    </xf>
    <xf numFmtId="177" fontId="33" fillId="2" borderId="3" xfId="3" applyNumberFormat="1" applyFont="1" applyFill="1" applyBorder="1" applyAlignment="1">
      <alignment vertical="center"/>
    </xf>
    <xf numFmtId="0" fontId="14" fillId="0" borderId="29" xfId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14" fillId="0" borderId="11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177" fontId="30" fillId="0" borderId="52" xfId="3" applyNumberFormat="1" applyFont="1" applyFill="1" applyBorder="1" applyAlignment="1">
      <alignment vertical="center"/>
    </xf>
    <xf numFmtId="177" fontId="30" fillId="2" borderId="21" xfId="3" applyNumberFormat="1" applyFont="1" applyFill="1" applyBorder="1" applyAlignment="1">
      <alignment vertical="center"/>
    </xf>
    <xf numFmtId="177" fontId="31" fillId="0" borderId="32" xfId="3" applyNumberFormat="1" applyFont="1" applyFill="1" applyBorder="1" applyAlignment="1">
      <alignment vertical="center"/>
    </xf>
    <xf numFmtId="177" fontId="31" fillId="2" borderId="21" xfId="3" applyNumberFormat="1" applyFont="1" applyFill="1" applyBorder="1" applyAlignment="1">
      <alignment vertical="center"/>
    </xf>
    <xf numFmtId="177" fontId="33" fillId="0" borderId="32" xfId="3" applyNumberFormat="1" applyFont="1" applyFill="1" applyBorder="1" applyAlignment="1">
      <alignment vertical="center"/>
    </xf>
    <xf numFmtId="177" fontId="33" fillId="2" borderId="24" xfId="3" applyNumberFormat="1" applyFont="1" applyFill="1" applyBorder="1" applyAlignment="1">
      <alignment vertical="center"/>
    </xf>
    <xf numFmtId="177" fontId="30" fillId="0" borderId="47" xfId="3" applyNumberFormat="1" applyFont="1" applyFill="1" applyBorder="1" applyAlignment="1">
      <alignment vertical="center"/>
    </xf>
    <xf numFmtId="177" fontId="30" fillId="2" borderId="48" xfId="3" applyNumberFormat="1" applyFont="1" applyFill="1" applyBorder="1" applyAlignment="1">
      <alignment vertical="center"/>
    </xf>
    <xf numFmtId="177" fontId="31" fillId="0" borderId="49" xfId="3" applyNumberFormat="1" applyFont="1" applyFill="1" applyBorder="1" applyAlignment="1">
      <alignment vertical="center"/>
    </xf>
    <xf numFmtId="177" fontId="33" fillId="0" borderId="49" xfId="3" applyNumberFormat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177" fontId="30" fillId="0" borderId="53" xfId="3" applyNumberFormat="1" applyFont="1" applyFill="1" applyBorder="1" applyAlignment="1">
      <alignment horizontal="right" vertical="center"/>
    </xf>
  </cellXfs>
  <cellStyles count="11">
    <cellStyle name="パーセント 2" xfId="7"/>
    <cellStyle name="桁区切り" xfId="3" builtinId="6"/>
    <cellStyle name="桁区切り 2" xfId="8"/>
    <cellStyle name="桁区切り 3" xfId="2"/>
    <cellStyle name="標準" xfId="0" builtinId="0"/>
    <cellStyle name="標準 2" xfId="4"/>
    <cellStyle name="標準 2 2" xfId="6"/>
    <cellStyle name="標準 3" xfId="5"/>
    <cellStyle name="標準 4" xfId="9"/>
    <cellStyle name="標準 5" xfId="10"/>
    <cellStyle name="標準_出生児数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showGridLines="0" tabSelected="1" zoomScale="70" zoomScaleNormal="70" zoomScaleSheetLayoutView="70" workbookViewId="0"/>
  </sheetViews>
  <sheetFormatPr defaultColWidth="12.625" defaultRowHeight="13.5" x14ac:dyDescent="0.15"/>
  <cols>
    <col min="1" max="1" width="3.625" style="27" customWidth="1"/>
    <col min="2" max="2" width="16.625" style="27" customWidth="1"/>
    <col min="3" max="3" width="8.625" style="27" customWidth="1"/>
    <col min="4" max="21" width="11.625" style="27" customWidth="1"/>
    <col min="22" max="22" width="11.625" style="26" customWidth="1"/>
    <col min="23" max="23" width="11.625" style="27" customWidth="1"/>
    <col min="24" max="16384" width="12.625" style="27"/>
  </cols>
  <sheetData>
    <row r="1" spans="1:16384" s="3" customFormat="1" ht="30" customHeight="1" x14ac:dyDescent="0.15">
      <c r="A1" s="44" t="s">
        <v>206</v>
      </c>
      <c r="B1" s="1"/>
      <c r="C1" s="1"/>
      <c r="D1" s="2"/>
      <c r="H1" s="4"/>
      <c r="K1" s="5"/>
      <c r="N1" s="6"/>
      <c r="R1" s="7"/>
      <c r="S1" s="7"/>
      <c r="T1" s="7"/>
      <c r="U1" s="8"/>
      <c r="V1" s="9"/>
    </row>
    <row r="2" spans="1:16384" s="3" customFormat="1" ht="39.950000000000003" customHeight="1" thickBot="1" x14ac:dyDescent="0.2">
      <c r="A2" s="6"/>
      <c r="B2" s="1"/>
      <c r="C2" s="1"/>
      <c r="D2" s="2"/>
      <c r="H2" s="4"/>
      <c r="K2" s="5"/>
      <c r="N2" s="6"/>
      <c r="R2" s="7"/>
      <c r="S2" s="7"/>
      <c r="U2" s="8"/>
      <c r="V2" s="9"/>
      <c r="W2" s="48" t="s">
        <v>159</v>
      </c>
    </row>
    <row r="3" spans="1:16384" s="14" customFormat="1" ht="24" customHeight="1" x14ac:dyDescent="0.15">
      <c r="A3" s="10"/>
      <c r="B3" s="136"/>
      <c r="C3" s="137"/>
      <c r="D3" s="11" t="s">
        <v>76</v>
      </c>
      <c r="E3" s="12" t="s">
        <v>167</v>
      </c>
      <c r="F3" s="12" t="s">
        <v>168</v>
      </c>
      <c r="G3" s="12" t="s">
        <v>169</v>
      </c>
      <c r="H3" s="12" t="s">
        <v>170</v>
      </c>
      <c r="I3" s="12" t="s">
        <v>77</v>
      </c>
      <c r="J3" s="12" t="s">
        <v>171</v>
      </c>
      <c r="K3" s="12" t="s">
        <v>172</v>
      </c>
      <c r="L3" s="12" t="s">
        <v>173</v>
      </c>
      <c r="M3" s="12" t="s">
        <v>174</v>
      </c>
      <c r="N3" s="12" t="s">
        <v>78</v>
      </c>
      <c r="O3" s="12" t="s">
        <v>175</v>
      </c>
      <c r="P3" s="12" t="s">
        <v>176</v>
      </c>
      <c r="Q3" s="12" t="s">
        <v>177</v>
      </c>
      <c r="R3" s="12" t="s">
        <v>178</v>
      </c>
      <c r="S3" s="12" t="s">
        <v>79</v>
      </c>
      <c r="T3" s="35" t="s">
        <v>179</v>
      </c>
      <c r="U3" s="12" t="s">
        <v>181</v>
      </c>
      <c r="V3" s="12" t="s">
        <v>180</v>
      </c>
      <c r="W3" s="13" t="s">
        <v>182</v>
      </c>
    </row>
    <row r="4" spans="1:16384" s="16" customFormat="1" ht="14.1" customHeight="1" thickBot="1" x14ac:dyDescent="0.2">
      <c r="A4" s="15"/>
      <c r="B4" s="138"/>
      <c r="C4" s="139"/>
      <c r="D4" s="38" t="s">
        <v>0</v>
      </c>
      <c r="E4" s="46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157</v>
      </c>
      <c r="T4" s="47" t="s">
        <v>15</v>
      </c>
      <c r="U4" s="46" t="s">
        <v>183</v>
      </c>
      <c r="V4" s="46" t="s">
        <v>16</v>
      </c>
      <c r="W4" s="40" t="s">
        <v>184</v>
      </c>
      <c r="X4" s="131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  <c r="XFC4" s="15"/>
      <c r="XFD4" s="15"/>
    </row>
    <row r="5" spans="1:16384" s="36" customFormat="1" ht="20.100000000000001" customHeight="1" thickTop="1" x14ac:dyDescent="0.15">
      <c r="B5" s="140" t="s">
        <v>98</v>
      </c>
      <c r="C5" s="87" t="s">
        <v>96</v>
      </c>
      <c r="D5" s="105">
        <f>(32605495/55963053)*100</f>
        <v>58.262537964109995</v>
      </c>
      <c r="E5" s="62" t="s">
        <v>207</v>
      </c>
      <c r="F5" s="62" t="s">
        <v>207</v>
      </c>
      <c r="G5" s="62" t="s">
        <v>207</v>
      </c>
      <c r="H5" s="62" t="s">
        <v>207</v>
      </c>
      <c r="I5" s="106">
        <f>(34791714/59736822)*100</f>
        <v>58.24165537296242</v>
      </c>
      <c r="J5" s="62" t="s">
        <v>207</v>
      </c>
      <c r="K5" s="62" t="s">
        <v>207</v>
      </c>
      <c r="L5" s="62" t="s">
        <v>207</v>
      </c>
      <c r="M5" s="62" t="s">
        <v>207</v>
      </c>
      <c r="N5" s="106">
        <f>(37806865/64450005)*100</f>
        <v>58.660763486364353</v>
      </c>
      <c r="O5" s="62" t="s">
        <v>207</v>
      </c>
      <c r="P5" s="62" t="s">
        <v>207</v>
      </c>
      <c r="Q5" s="62" t="s">
        <v>207</v>
      </c>
      <c r="R5" s="62" t="s">
        <v>207</v>
      </c>
      <c r="S5" s="106">
        <f>(40484022/69254148)*100</f>
        <v>58.457180066672684</v>
      </c>
      <c r="T5" s="62" t="s">
        <v>207</v>
      </c>
      <c r="U5" s="62" t="s">
        <v>207</v>
      </c>
      <c r="V5" s="62" t="s">
        <v>207</v>
      </c>
      <c r="W5" s="67" t="s">
        <v>207</v>
      </c>
    </row>
    <row r="6" spans="1:16384" s="36" customFormat="1" ht="20.100000000000001" customHeight="1" x14ac:dyDescent="0.15">
      <c r="B6" s="141"/>
      <c r="C6" s="88" t="s">
        <v>97</v>
      </c>
      <c r="D6" s="68">
        <f>(1322774/2359183)*100</f>
        <v>56.069156144309282</v>
      </c>
      <c r="E6" s="63" t="s">
        <v>207</v>
      </c>
      <c r="F6" s="63" t="s">
        <v>207</v>
      </c>
      <c r="G6" s="63" t="s">
        <v>207</v>
      </c>
      <c r="H6" s="63" t="s">
        <v>207</v>
      </c>
      <c r="I6" s="49">
        <f>(1379200/2498679)*100</f>
        <v>55.197166182610893</v>
      </c>
      <c r="J6" s="63" t="s">
        <v>207</v>
      </c>
      <c r="K6" s="63" t="s">
        <v>207</v>
      </c>
      <c r="L6" s="63" t="s">
        <v>207</v>
      </c>
      <c r="M6" s="63" t="s">
        <v>207</v>
      </c>
      <c r="N6" s="49">
        <f>(1572842/2812335)*100</f>
        <v>55.926552135503059</v>
      </c>
      <c r="O6" s="63" t="s">
        <v>207</v>
      </c>
      <c r="P6" s="63" t="s">
        <v>207</v>
      </c>
      <c r="Q6" s="63" t="s">
        <v>207</v>
      </c>
      <c r="R6" s="63" t="s">
        <v>207</v>
      </c>
      <c r="S6" s="49">
        <f>(1721660/3068282)*100</f>
        <v>56.111530817571534</v>
      </c>
      <c r="T6" s="63" t="s">
        <v>207</v>
      </c>
      <c r="U6" s="63" t="s">
        <v>207</v>
      </c>
      <c r="V6" s="63" t="s">
        <v>207</v>
      </c>
      <c r="W6" s="69" t="s">
        <v>207</v>
      </c>
    </row>
    <row r="7" spans="1:16384" s="74" customFormat="1" ht="20.100000000000001" customHeight="1" x14ac:dyDescent="0.15">
      <c r="B7" s="142" t="s">
        <v>95</v>
      </c>
      <c r="C7" s="89" t="s">
        <v>96</v>
      </c>
      <c r="D7" s="50">
        <f>(20416202/55963053)*100</f>
        <v>36.481572940632809</v>
      </c>
      <c r="E7" s="64" t="s">
        <v>208</v>
      </c>
      <c r="F7" s="64" t="s">
        <v>208</v>
      </c>
      <c r="G7" s="64" t="s">
        <v>208</v>
      </c>
      <c r="H7" s="64" t="s">
        <v>208</v>
      </c>
      <c r="I7" s="51">
        <f>(21924045/59736822)*100</f>
        <v>36.701056845642036</v>
      </c>
      <c r="J7" s="64" t="s">
        <v>208</v>
      </c>
      <c r="K7" s="64" t="s">
        <v>208</v>
      </c>
      <c r="L7" s="64" t="s">
        <v>208</v>
      </c>
      <c r="M7" s="64" t="s">
        <v>208</v>
      </c>
      <c r="N7" s="51">
        <f>(23579265/64450005)*100</f>
        <v>36.585357906488916</v>
      </c>
      <c r="O7" s="64" t="s">
        <v>208</v>
      </c>
      <c r="P7" s="64" t="s">
        <v>208</v>
      </c>
      <c r="Q7" s="64" t="s">
        <v>208</v>
      </c>
      <c r="R7" s="64" t="s">
        <v>208</v>
      </c>
      <c r="S7" s="51">
        <f>(25545167/69254148)*100</f>
        <v>36.886118359293079</v>
      </c>
      <c r="T7" s="64" t="s">
        <v>208</v>
      </c>
      <c r="U7" s="64" t="s">
        <v>208</v>
      </c>
      <c r="V7" s="64" t="s">
        <v>208</v>
      </c>
      <c r="W7" s="70" t="s">
        <v>208</v>
      </c>
    </row>
    <row r="8" spans="1:16384" s="74" customFormat="1" ht="20.100000000000001" customHeight="1" x14ac:dyDescent="0.15">
      <c r="B8" s="133"/>
      <c r="C8" s="90" t="s">
        <v>97</v>
      </c>
      <c r="D8" s="71">
        <f>(966058/2359183)*100</f>
        <v>40.948836949062454</v>
      </c>
      <c r="E8" s="65" t="s">
        <v>209</v>
      </c>
      <c r="F8" s="65" t="s">
        <v>209</v>
      </c>
      <c r="G8" s="65" t="s">
        <v>209</v>
      </c>
      <c r="H8" s="65" t="s">
        <v>209</v>
      </c>
      <c r="I8" s="52">
        <f>(1042866/2498679)*100</f>
        <v>41.736693668934663</v>
      </c>
      <c r="J8" s="65" t="s">
        <v>209</v>
      </c>
      <c r="K8" s="65" t="s">
        <v>209</v>
      </c>
      <c r="L8" s="65" t="s">
        <v>209</v>
      </c>
      <c r="M8" s="65" t="s">
        <v>209</v>
      </c>
      <c r="N8" s="52">
        <f>(1157871/2812335)*100</f>
        <v>41.171162041506435</v>
      </c>
      <c r="O8" s="65" t="s">
        <v>209</v>
      </c>
      <c r="P8" s="65" t="s">
        <v>209</v>
      </c>
      <c r="Q8" s="65" t="s">
        <v>209</v>
      </c>
      <c r="R8" s="65" t="s">
        <v>209</v>
      </c>
      <c r="S8" s="52">
        <f>(1252627/3068282)*100</f>
        <v>40.825028468700076</v>
      </c>
      <c r="T8" s="65" t="s">
        <v>209</v>
      </c>
      <c r="U8" s="65" t="s">
        <v>209</v>
      </c>
      <c r="V8" s="65" t="s">
        <v>209</v>
      </c>
      <c r="W8" s="72" t="s">
        <v>209</v>
      </c>
    </row>
    <row r="9" spans="1:16384" s="99" customFormat="1" ht="20.100000000000001" customHeight="1" x14ac:dyDescent="0.15">
      <c r="A9" s="93"/>
      <c r="B9" s="143" t="s">
        <v>158</v>
      </c>
      <c r="C9" s="91" t="s">
        <v>96</v>
      </c>
      <c r="D9" s="102">
        <f>(2941356/55963053)*100</f>
        <v>5.2558890952571868</v>
      </c>
      <c r="E9" s="95" t="s">
        <v>209</v>
      </c>
      <c r="F9" s="95" t="s">
        <v>209</v>
      </c>
      <c r="G9" s="95" t="s">
        <v>209</v>
      </c>
      <c r="H9" s="95" t="s">
        <v>209</v>
      </c>
      <c r="I9" s="97">
        <f>(3021063/59736822)*100</f>
        <v>5.0572877813955346</v>
      </c>
      <c r="J9" s="103" t="s">
        <v>209</v>
      </c>
      <c r="K9" s="103" t="s">
        <v>209</v>
      </c>
      <c r="L9" s="103" t="s">
        <v>209</v>
      </c>
      <c r="M9" s="103" t="s">
        <v>209</v>
      </c>
      <c r="N9" s="97">
        <f>(3063875/64450005)*100</f>
        <v>4.7538786071467332</v>
      </c>
      <c r="O9" s="103" t="s">
        <v>209</v>
      </c>
      <c r="P9" s="103" t="s">
        <v>209</v>
      </c>
      <c r="Q9" s="103" t="s">
        <v>209</v>
      </c>
      <c r="R9" s="103" t="s">
        <v>209</v>
      </c>
      <c r="S9" s="97">
        <f>(3224959/69254148)*100</f>
        <v>4.656701574034237</v>
      </c>
      <c r="T9" s="103" t="s">
        <v>209</v>
      </c>
      <c r="U9" s="103" t="s">
        <v>209</v>
      </c>
      <c r="V9" s="103" t="s">
        <v>209</v>
      </c>
      <c r="W9" s="104" t="s">
        <v>209</v>
      </c>
    </row>
    <row r="10" spans="1:16384" s="30" customFormat="1" ht="20.100000000000001" customHeight="1" thickBot="1" x14ac:dyDescent="0.2">
      <c r="A10" s="28"/>
      <c r="B10" s="135"/>
      <c r="C10" s="92" t="s">
        <v>160</v>
      </c>
      <c r="D10" s="53">
        <f>(70351/2359183)*100</f>
        <v>2.9820069066282691</v>
      </c>
      <c r="E10" s="66" t="s">
        <v>209</v>
      </c>
      <c r="F10" s="66" t="s">
        <v>209</v>
      </c>
      <c r="G10" s="66" t="s">
        <v>209</v>
      </c>
      <c r="H10" s="66" t="s">
        <v>209</v>
      </c>
      <c r="I10" s="55">
        <f>(76613/2498679)*100</f>
        <v>3.0661401484544433</v>
      </c>
      <c r="J10" s="85" t="s">
        <v>209</v>
      </c>
      <c r="K10" s="85" t="s">
        <v>209</v>
      </c>
      <c r="L10" s="85" t="s">
        <v>209</v>
      </c>
      <c r="M10" s="85" t="s">
        <v>209</v>
      </c>
      <c r="N10" s="55">
        <f>(81622/2812335)*100</f>
        <v>2.9022858229905046</v>
      </c>
      <c r="O10" s="85" t="s">
        <v>209</v>
      </c>
      <c r="P10" s="85" t="s">
        <v>209</v>
      </c>
      <c r="Q10" s="85" t="s">
        <v>209</v>
      </c>
      <c r="R10" s="85" t="s">
        <v>209</v>
      </c>
      <c r="S10" s="55">
        <f>(93995/3068282)*100</f>
        <v>3.063440713728399</v>
      </c>
      <c r="T10" s="85" t="s">
        <v>209</v>
      </c>
      <c r="U10" s="85" t="s">
        <v>209</v>
      </c>
      <c r="V10" s="85" t="s">
        <v>209</v>
      </c>
      <c r="W10" s="86" t="s">
        <v>209</v>
      </c>
    </row>
    <row r="11" spans="1:16384" s="30" customFormat="1" ht="39.950000000000003" customHeight="1" thickBot="1" x14ac:dyDescent="0.2">
      <c r="A11" s="28"/>
      <c r="B11" s="32"/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3"/>
      <c r="V11" s="29"/>
    </row>
    <row r="12" spans="1:16384" s="30" customFormat="1" ht="24" customHeight="1" x14ac:dyDescent="0.15">
      <c r="A12" s="28"/>
      <c r="B12" s="136"/>
      <c r="C12" s="137"/>
      <c r="D12" s="41" t="s">
        <v>80</v>
      </c>
      <c r="E12" s="12" t="s">
        <v>185</v>
      </c>
      <c r="F12" s="12" t="s">
        <v>186</v>
      </c>
      <c r="G12" s="12" t="s">
        <v>187</v>
      </c>
      <c r="H12" s="12" t="s">
        <v>188</v>
      </c>
      <c r="I12" s="12" t="s">
        <v>81</v>
      </c>
      <c r="J12" s="12" t="s">
        <v>189</v>
      </c>
      <c r="K12" s="12" t="s">
        <v>190</v>
      </c>
      <c r="L12" s="12" t="s">
        <v>191</v>
      </c>
      <c r="M12" s="12" t="s">
        <v>192</v>
      </c>
      <c r="N12" s="12" t="s">
        <v>82</v>
      </c>
      <c r="O12" s="12" t="s">
        <v>193</v>
      </c>
      <c r="P12" s="12" t="s">
        <v>194</v>
      </c>
      <c r="Q12" s="35" t="s">
        <v>195</v>
      </c>
      <c r="R12" s="12" t="s">
        <v>196</v>
      </c>
      <c r="S12" s="12" t="s">
        <v>83</v>
      </c>
      <c r="T12" s="12" t="s">
        <v>152</v>
      </c>
      <c r="U12" s="12" t="s">
        <v>153</v>
      </c>
      <c r="V12" s="12" t="s">
        <v>154</v>
      </c>
      <c r="W12" s="13" t="s">
        <v>155</v>
      </c>
    </row>
    <row r="13" spans="1:16384" s="30" customFormat="1" ht="14.1" customHeight="1" thickBot="1" x14ac:dyDescent="0.2">
      <c r="A13" s="28"/>
      <c r="B13" s="138"/>
      <c r="C13" s="139"/>
      <c r="D13" s="42" t="s">
        <v>17</v>
      </c>
      <c r="E13" s="46" t="s">
        <v>18</v>
      </c>
      <c r="F13" s="46" t="s">
        <v>19</v>
      </c>
      <c r="G13" s="46" t="s">
        <v>197</v>
      </c>
      <c r="H13" s="46" t="s">
        <v>20</v>
      </c>
      <c r="I13" s="46" t="s">
        <v>21</v>
      </c>
      <c r="J13" s="46" t="s">
        <v>22</v>
      </c>
      <c r="K13" s="46" t="s">
        <v>23</v>
      </c>
      <c r="L13" s="46" t="s">
        <v>24</v>
      </c>
      <c r="M13" s="46" t="s">
        <v>25</v>
      </c>
      <c r="N13" s="46" t="s">
        <v>26</v>
      </c>
      <c r="O13" s="46" t="s">
        <v>27</v>
      </c>
      <c r="P13" s="46" t="s">
        <v>28</v>
      </c>
      <c r="Q13" s="47" t="s">
        <v>198</v>
      </c>
      <c r="R13" s="46" t="s">
        <v>29</v>
      </c>
      <c r="S13" s="46" t="s">
        <v>30</v>
      </c>
      <c r="T13" s="46" t="s">
        <v>31</v>
      </c>
      <c r="U13" s="46" t="s">
        <v>32</v>
      </c>
      <c r="V13" s="46" t="s">
        <v>33</v>
      </c>
      <c r="W13" s="40" t="s">
        <v>34</v>
      </c>
    </row>
    <row r="14" spans="1:16384" s="30" customFormat="1" ht="20.100000000000001" customHeight="1" thickTop="1" x14ac:dyDescent="0.15">
      <c r="A14" s="28"/>
      <c r="B14" s="140" t="s">
        <v>98</v>
      </c>
      <c r="C14" s="87" t="s">
        <v>96</v>
      </c>
      <c r="D14" s="106">
        <f>(43251699/(73075071-962))*100</f>
        <v>59.188814741483888</v>
      </c>
      <c r="E14" s="62" t="s">
        <v>207</v>
      </c>
      <c r="F14" s="62" t="s">
        <v>207</v>
      </c>
      <c r="G14" s="62" t="s">
        <v>207</v>
      </c>
      <c r="H14" s="62" t="s">
        <v>207</v>
      </c>
      <c r="I14" s="106">
        <f>(41820903/71998104)*100</f>
        <v>58.086117101083659</v>
      </c>
      <c r="J14" s="62" t="s">
        <v>207</v>
      </c>
      <c r="K14" s="62" t="s">
        <v>207</v>
      </c>
      <c r="L14" s="62" t="s">
        <v>207</v>
      </c>
      <c r="M14" s="62" t="s">
        <v>207</v>
      </c>
      <c r="N14" s="106">
        <f>(50168312/84114574)*100</f>
        <v>59.642829552938117</v>
      </c>
      <c r="O14" s="62" t="s">
        <v>207</v>
      </c>
      <c r="P14" s="62" t="s">
        <v>207</v>
      </c>
      <c r="Q14" s="62" t="s">
        <v>207</v>
      </c>
      <c r="R14" s="62" t="s">
        <v>207</v>
      </c>
      <c r="S14" s="106">
        <f>(55166615/(90076594-883))*100</f>
        <v>61.244717790792677</v>
      </c>
      <c r="T14" s="62" t="s">
        <v>207</v>
      </c>
      <c r="U14" s="62" t="s">
        <v>207</v>
      </c>
      <c r="V14" s="62" t="s">
        <v>207</v>
      </c>
      <c r="W14" s="67" t="s">
        <v>207</v>
      </c>
    </row>
    <row r="15" spans="1:16384" s="30" customFormat="1" ht="20.100000000000001" customHeight="1" x14ac:dyDescent="0.15">
      <c r="A15" s="28"/>
      <c r="B15" s="141"/>
      <c r="C15" s="88" t="s">
        <v>97</v>
      </c>
      <c r="D15" s="49">
        <f>(1877116/(3272012-14))*100</f>
        <v>57.369105971336168</v>
      </c>
      <c r="E15" s="63" t="s">
        <v>207</v>
      </c>
      <c r="F15" s="63" t="s">
        <v>207</v>
      </c>
      <c r="G15" s="63" t="s">
        <v>207</v>
      </c>
      <c r="H15" s="63" t="s">
        <v>207</v>
      </c>
      <c r="I15" s="49">
        <f>(2004732/3518389)*100</f>
        <v>56.97869109981869</v>
      </c>
      <c r="J15" s="63" t="s">
        <v>207</v>
      </c>
      <c r="K15" s="63" t="s">
        <v>207</v>
      </c>
      <c r="L15" s="63" t="s">
        <v>207</v>
      </c>
      <c r="M15" s="63" t="s">
        <v>207</v>
      </c>
      <c r="N15" s="49">
        <f>(2475350/4295567)*100</f>
        <v>57.625687132804579</v>
      </c>
      <c r="O15" s="63" t="s">
        <v>207</v>
      </c>
      <c r="P15" s="63" t="s">
        <v>207</v>
      </c>
      <c r="Q15" s="63" t="s">
        <v>207</v>
      </c>
      <c r="R15" s="63" t="s">
        <v>207</v>
      </c>
      <c r="S15" s="49">
        <f>(2836557/(4773087-50))*100</f>
        <v>59.428766213209748</v>
      </c>
      <c r="T15" s="63" t="s">
        <v>207</v>
      </c>
      <c r="U15" s="63" t="s">
        <v>207</v>
      </c>
      <c r="V15" s="63" t="s">
        <v>207</v>
      </c>
      <c r="W15" s="69" t="s">
        <v>207</v>
      </c>
    </row>
    <row r="16" spans="1:16384" s="30" customFormat="1" ht="20.100000000000001" customHeight="1" x14ac:dyDescent="0.15">
      <c r="A16" s="28"/>
      <c r="B16" s="142" t="s">
        <v>95</v>
      </c>
      <c r="C16" s="89" t="s">
        <v>96</v>
      </c>
      <c r="D16" s="51">
        <f>(26368708/(73075071-962))*100</f>
        <v>36.084884729829547</v>
      </c>
      <c r="E16" s="64" t="s">
        <v>208</v>
      </c>
      <c r="F16" s="64" t="s">
        <v>208</v>
      </c>
      <c r="G16" s="64" t="s">
        <v>208</v>
      </c>
      <c r="H16" s="64" t="s">
        <v>208</v>
      </c>
      <c r="I16" s="51">
        <f>(26477086/71998104)*100</f>
        <v>36.774698955961391</v>
      </c>
      <c r="J16" s="64" t="s">
        <v>208</v>
      </c>
      <c r="K16" s="64" t="s">
        <v>208</v>
      </c>
      <c r="L16" s="64" t="s">
        <v>208</v>
      </c>
      <c r="M16" s="64" t="s">
        <v>208</v>
      </c>
      <c r="N16" s="51">
        <f>(29786412/(84114574-4670))*100</f>
        <v>35.413679701738808</v>
      </c>
      <c r="O16" s="64" t="s">
        <v>208</v>
      </c>
      <c r="P16" s="64" t="s">
        <v>208</v>
      </c>
      <c r="Q16" s="64" t="s">
        <v>208</v>
      </c>
      <c r="R16" s="64" t="s">
        <v>208</v>
      </c>
      <c r="S16" s="51">
        <f>(30122897/(90076594-883))*100</f>
        <v>33.44175323800664</v>
      </c>
      <c r="T16" s="64" t="s">
        <v>208</v>
      </c>
      <c r="U16" s="64" t="s">
        <v>208</v>
      </c>
      <c r="V16" s="64" t="s">
        <v>208</v>
      </c>
      <c r="W16" s="70" t="s">
        <v>208</v>
      </c>
    </row>
    <row r="17" spans="1:23" s="30" customFormat="1" ht="20.100000000000001" customHeight="1" x14ac:dyDescent="0.15">
      <c r="A17" s="28"/>
      <c r="B17" s="133"/>
      <c r="C17" s="90" t="s">
        <v>97</v>
      </c>
      <c r="D17" s="52">
        <f>(1287653/(3272012-14))*100</f>
        <v>39.353722098852138</v>
      </c>
      <c r="E17" s="65" t="s">
        <v>209</v>
      </c>
      <c r="F17" s="65" t="s">
        <v>209</v>
      </c>
      <c r="G17" s="65" t="s">
        <v>209</v>
      </c>
      <c r="H17" s="65" t="s">
        <v>209</v>
      </c>
      <c r="I17" s="52">
        <f>(1381097/3518389)*100</f>
        <v>39.253675474769842</v>
      </c>
      <c r="J17" s="65" t="s">
        <v>209</v>
      </c>
      <c r="K17" s="65" t="s">
        <v>209</v>
      </c>
      <c r="L17" s="65" t="s">
        <v>209</v>
      </c>
      <c r="M17" s="65" t="s">
        <v>209</v>
      </c>
      <c r="N17" s="52">
        <f>(1659831/(4295567-82))*100</f>
        <v>38.641294289236257</v>
      </c>
      <c r="O17" s="65" t="s">
        <v>209</v>
      </c>
      <c r="P17" s="65" t="s">
        <v>209</v>
      </c>
      <c r="Q17" s="65" t="s">
        <v>209</v>
      </c>
      <c r="R17" s="65" t="s">
        <v>209</v>
      </c>
      <c r="S17" s="52">
        <f>(1750215/(4773087-50))*100</f>
        <v>36.668791798596992</v>
      </c>
      <c r="T17" s="65" t="s">
        <v>209</v>
      </c>
      <c r="U17" s="65" t="s">
        <v>209</v>
      </c>
      <c r="V17" s="65" t="s">
        <v>209</v>
      </c>
      <c r="W17" s="72" t="s">
        <v>209</v>
      </c>
    </row>
    <row r="18" spans="1:23" s="99" customFormat="1" ht="20.100000000000001" customHeight="1" x14ac:dyDescent="0.15">
      <c r="A18" s="93"/>
      <c r="B18" s="143" t="s">
        <v>158</v>
      </c>
      <c r="C18" s="91" t="s">
        <v>96</v>
      </c>
      <c r="D18" s="97">
        <f>(3453702/(73075071-962))*100</f>
        <v>4.7263005286865694</v>
      </c>
      <c r="E18" s="95" t="s">
        <v>209</v>
      </c>
      <c r="F18" s="95" t="s">
        <v>209</v>
      </c>
      <c r="G18" s="95" t="s">
        <v>209</v>
      </c>
      <c r="H18" s="95" t="s">
        <v>209</v>
      </c>
      <c r="I18" s="97">
        <f>(3700115/71998104)*100</f>
        <v>5.1391839429549426</v>
      </c>
      <c r="J18" s="95" t="s">
        <v>209</v>
      </c>
      <c r="K18" s="95" t="s">
        <v>209</v>
      </c>
      <c r="L18" s="95" t="s">
        <v>209</v>
      </c>
      <c r="M18" s="95" t="s">
        <v>209</v>
      </c>
      <c r="N18" s="97">
        <f>(4155180/(84114574-4670))*100</f>
        <v>4.9401792207490809</v>
      </c>
      <c r="O18" s="95" t="s">
        <v>209</v>
      </c>
      <c r="P18" s="95" t="s">
        <v>209</v>
      </c>
      <c r="Q18" s="95" t="s">
        <v>209</v>
      </c>
      <c r="R18" s="95" t="s">
        <v>209</v>
      </c>
      <c r="S18" s="94">
        <f>(4786199/(90076594-883))*100</f>
        <v>5.3135289712006823</v>
      </c>
      <c r="T18" s="95" t="s">
        <v>209</v>
      </c>
      <c r="U18" s="95" t="s">
        <v>209</v>
      </c>
      <c r="V18" s="95" t="s">
        <v>209</v>
      </c>
      <c r="W18" s="101" t="s">
        <v>209</v>
      </c>
    </row>
    <row r="19" spans="1:23" s="30" customFormat="1" ht="20.100000000000001" customHeight="1" thickBot="1" x14ac:dyDescent="0.2">
      <c r="A19" s="28"/>
      <c r="B19" s="135"/>
      <c r="C19" s="92" t="s">
        <v>160</v>
      </c>
      <c r="D19" s="55">
        <f>(107229/(3272012-14))*100</f>
        <v>3.277171929811693</v>
      </c>
      <c r="E19" s="66" t="s">
        <v>209</v>
      </c>
      <c r="F19" s="66" t="s">
        <v>209</v>
      </c>
      <c r="G19" s="66" t="s">
        <v>209</v>
      </c>
      <c r="H19" s="66" t="s">
        <v>209</v>
      </c>
      <c r="I19" s="55">
        <f>(132560/3518389)*100</f>
        <v>3.7676334254114598</v>
      </c>
      <c r="J19" s="66" t="s">
        <v>209</v>
      </c>
      <c r="K19" s="66" t="s">
        <v>209</v>
      </c>
      <c r="L19" s="66" t="s">
        <v>209</v>
      </c>
      <c r="M19" s="66" t="s">
        <v>209</v>
      </c>
      <c r="N19" s="55">
        <f>(160304/(4295567-82))*100</f>
        <v>3.7319185144401619</v>
      </c>
      <c r="O19" s="66" t="s">
        <v>209</v>
      </c>
      <c r="P19" s="66" t="s">
        <v>209</v>
      </c>
      <c r="Q19" s="66" t="s">
        <v>209</v>
      </c>
      <c r="R19" s="66" t="s">
        <v>209</v>
      </c>
      <c r="S19" s="56">
        <f>(186265/(4773087-50))*100</f>
        <v>3.9024419881932615</v>
      </c>
      <c r="T19" s="66" t="s">
        <v>209</v>
      </c>
      <c r="U19" s="66" t="s">
        <v>209</v>
      </c>
      <c r="V19" s="66" t="s">
        <v>209</v>
      </c>
      <c r="W19" s="73" t="s">
        <v>209</v>
      </c>
    </row>
    <row r="20" spans="1:23" s="21" customFormat="1" ht="39.950000000000003" customHeight="1" thickBot="1" x14ac:dyDescent="0.2">
      <c r="A20" s="19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0"/>
    </row>
    <row r="21" spans="1:23" s="21" customFormat="1" ht="24" customHeight="1" x14ac:dyDescent="0.15">
      <c r="A21" s="19"/>
      <c r="B21" s="136"/>
      <c r="C21" s="137"/>
      <c r="D21" s="41" t="s">
        <v>84</v>
      </c>
      <c r="E21" s="12" t="s">
        <v>99</v>
      </c>
      <c r="F21" s="12" t="s">
        <v>100</v>
      </c>
      <c r="G21" s="12" t="s">
        <v>101</v>
      </c>
      <c r="H21" s="12" t="s">
        <v>102</v>
      </c>
      <c r="I21" s="35" t="s">
        <v>85</v>
      </c>
      <c r="J21" s="12" t="s">
        <v>103</v>
      </c>
      <c r="K21" s="12" t="s">
        <v>104</v>
      </c>
      <c r="L21" s="12" t="s">
        <v>105</v>
      </c>
      <c r="M21" s="35" t="s">
        <v>106</v>
      </c>
      <c r="N21" s="12" t="s">
        <v>86</v>
      </c>
      <c r="O21" s="12" t="s">
        <v>107</v>
      </c>
      <c r="P21" s="12" t="s">
        <v>108</v>
      </c>
      <c r="Q21" s="12" t="s">
        <v>109</v>
      </c>
      <c r="R21" s="12" t="s">
        <v>110</v>
      </c>
      <c r="S21" s="35" t="s">
        <v>87</v>
      </c>
      <c r="T21" s="12" t="s">
        <v>111</v>
      </c>
      <c r="U21" s="12" t="s">
        <v>112</v>
      </c>
      <c r="V21" s="12" t="s">
        <v>113</v>
      </c>
      <c r="W21" s="13" t="s">
        <v>114</v>
      </c>
    </row>
    <row r="22" spans="1:23" s="21" customFormat="1" ht="14.1" customHeight="1" thickBot="1" x14ac:dyDescent="0.2">
      <c r="A22" s="19"/>
      <c r="B22" s="138"/>
      <c r="C22" s="139"/>
      <c r="D22" s="42" t="s">
        <v>35</v>
      </c>
      <c r="E22" s="46" t="s">
        <v>36</v>
      </c>
      <c r="F22" s="46" t="s">
        <v>37</v>
      </c>
      <c r="G22" s="46" t="s">
        <v>38</v>
      </c>
      <c r="H22" s="46" t="s">
        <v>39</v>
      </c>
      <c r="I22" s="47" t="s">
        <v>40</v>
      </c>
      <c r="J22" s="46" t="s">
        <v>41</v>
      </c>
      <c r="K22" s="46" t="s">
        <v>42</v>
      </c>
      <c r="L22" s="46" t="s">
        <v>43</v>
      </c>
      <c r="M22" s="47" t="s">
        <v>161</v>
      </c>
      <c r="N22" s="46" t="s">
        <v>44</v>
      </c>
      <c r="O22" s="46" t="s">
        <v>45</v>
      </c>
      <c r="P22" s="46" t="s">
        <v>46</v>
      </c>
      <c r="Q22" s="46" t="s">
        <v>47</v>
      </c>
      <c r="R22" s="46" t="s">
        <v>48</v>
      </c>
      <c r="S22" s="47" t="s">
        <v>162</v>
      </c>
      <c r="T22" s="46" t="s">
        <v>163</v>
      </c>
      <c r="U22" s="46" t="s">
        <v>164</v>
      </c>
      <c r="V22" s="46" t="s">
        <v>49</v>
      </c>
      <c r="W22" s="40" t="s">
        <v>50</v>
      </c>
    </row>
    <row r="23" spans="1:23" s="18" customFormat="1" ht="20.100000000000001" customHeight="1" thickTop="1" x14ac:dyDescent="0.15">
      <c r="A23" s="17"/>
      <c r="B23" s="140" t="s">
        <v>98</v>
      </c>
      <c r="C23" s="87" t="s">
        <v>96</v>
      </c>
      <c r="D23" s="106">
        <f>(60469355/(94301623-129))*100</f>
        <v>64.12343265738717</v>
      </c>
      <c r="E23" s="62" t="s">
        <v>207</v>
      </c>
      <c r="F23" s="62" t="s">
        <v>207</v>
      </c>
      <c r="G23" s="62" t="s">
        <v>207</v>
      </c>
      <c r="H23" s="62" t="s">
        <v>207</v>
      </c>
      <c r="I23" s="107">
        <f>(67444242/(99209137-51))*100</f>
        <v>67.981920526916255</v>
      </c>
      <c r="J23" s="62" t="s">
        <v>207</v>
      </c>
      <c r="K23" s="62" t="s">
        <v>207</v>
      </c>
      <c r="L23" s="62" t="s">
        <v>207</v>
      </c>
      <c r="M23" s="62" t="s">
        <v>207</v>
      </c>
      <c r="N23" s="77">
        <f>(72119100/104665171)*100</f>
        <v>68.904583359444374</v>
      </c>
      <c r="O23" s="77">
        <f>(72321000/105014000)*100</f>
        <v>68.86796046241453</v>
      </c>
      <c r="P23" s="77">
        <f>(73483000/107332000)*100</f>
        <v>68.463272835687391</v>
      </c>
      <c r="Q23" s="77">
        <f>(74104000/108710000)*100</f>
        <v>68.166681997976269</v>
      </c>
      <c r="R23" s="77">
        <f>(74742000/110049000)*100</f>
        <v>67.917018782542328</v>
      </c>
      <c r="S23" s="77">
        <f>(75807317/(111939643-46205))*100</f>
        <v>67.749564545509813</v>
      </c>
      <c r="T23" s="77">
        <f>(76395000/113089000)*100</f>
        <v>67.552989238564322</v>
      </c>
      <c r="U23" s="77">
        <f>(76944000/114154000)*100</f>
        <v>67.403682744362882</v>
      </c>
      <c r="V23" s="77">
        <f>(77545000/115174000)*100</f>
        <v>67.328563738343732</v>
      </c>
      <c r="W23" s="78">
        <f>(78161000/116133000)*100</f>
        <v>67.303006036182651</v>
      </c>
    </row>
    <row r="24" spans="1:23" s="18" customFormat="1" ht="20.100000000000001" customHeight="1" x14ac:dyDescent="0.15">
      <c r="A24" s="17"/>
      <c r="B24" s="141"/>
      <c r="C24" s="88" t="s">
        <v>97</v>
      </c>
      <c r="D24" s="49">
        <f>(3145664/5039206)*100</f>
        <v>62.423802479993874</v>
      </c>
      <c r="E24" s="63" t="s">
        <v>207</v>
      </c>
      <c r="F24" s="63" t="s">
        <v>207</v>
      </c>
      <c r="G24" s="63" t="s">
        <v>207</v>
      </c>
      <c r="H24" s="63" t="s">
        <v>207</v>
      </c>
      <c r="I24" s="57">
        <f>(3460359/5171800)*100</f>
        <v>66.908213774701267</v>
      </c>
      <c r="J24" s="63" t="s">
        <v>207</v>
      </c>
      <c r="K24" s="63" t="s">
        <v>207</v>
      </c>
      <c r="L24" s="63" t="s">
        <v>207</v>
      </c>
      <c r="M24" s="63" t="s">
        <v>207</v>
      </c>
      <c r="N24" s="75">
        <f>(3575731/5184287)*100</f>
        <v>68.972473939039261</v>
      </c>
      <c r="O24" s="75">
        <f>(3577000/5188000)*100</f>
        <v>68.947571318427137</v>
      </c>
      <c r="P24" s="75">
        <f>(3580000/5205000)*100</f>
        <v>68.780019212295869</v>
      </c>
      <c r="Q24" s="75">
        <f>(3588000/5232000)*100</f>
        <v>68.577981651376149</v>
      </c>
      <c r="R24" s="75">
        <f>(3611000/5279000)*100</f>
        <v>68.403106648986551</v>
      </c>
      <c r="S24" s="75">
        <f>(3657884/5338206)*100</f>
        <v>68.522720929091165</v>
      </c>
      <c r="T24" s="75">
        <f>(3699000/5394000)*100</f>
        <v>68.57619577308121</v>
      </c>
      <c r="U24" s="75">
        <f>(3734000/5442000)*100</f>
        <v>68.614479970599035</v>
      </c>
      <c r="V24" s="75">
        <f>(3769000/5488000)*100</f>
        <v>68.677113702623899</v>
      </c>
      <c r="W24" s="76">
        <f>(3803000/5532000)*100</f>
        <v>68.745480838756322</v>
      </c>
    </row>
    <row r="25" spans="1:23" s="30" customFormat="1" ht="20.100000000000001" customHeight="1" x14ac:dyDescent="0.15">
      <c r="A25" s="28"/>
      <c r="B25" s="142" t="s">
        <v>95</v>
      </c>
      <c r="C25" s="89" t="s">
        <v>96</v>
      </c>
      <c r="D25" s="51">
        <f>(28434159/(94301623-129))*100</f>
        <v>30.152395040528202</v>
      </c>
      <c r="E25" s="64" t="s">
        <v>208</v>
      </c>
      <c r="F25" s="64" t="s">
        <v>208</v>
      </c>
      <c r="G25" s="64" t="s">
        <v>208</v>
      </c>
      <c r="H25" s="64" t="s">
        <v>208</v>
      </c>
      <c r="I25" s="58">
        <f>(25529230/(99209137-51))*100</f>
        <v>25.732753953604615</v>
      </c>
      <c r="J25" s="64" t="s">
        <v>208</v>
      </c>
      <c r="K25" s="64" t="s">
        <v>208</v>
      </c>
      <c r="L25" s="64" t="s">
        <v>208</v>
      </c>
      <c r="M25" s="64" t="s">
        <v>208</v>
      </c>
      <c r="N25" s="54">
        <f>(25152779/104665171)*100</f>
        <v>24.031660923766129</v>
      </c>
      <c r="O25" s="54">
        <f>(25169000/105014000)*100</f>
        <v>23.967280553069116</v>
      </c>
      <c r="P25" s="54">
        <f>(25970000/107332000)*100</f>
        <v>24.195952744754592</v>
      </c>
      <c r="Q25" s="54">
        <f>(26447000/108710000)*100</f>
        <v>24.328028700211572</v>
      </c>
      <c r="R25" s="54">
        <f>(26850000/110049000)*100</f>
        <v>24.398222609928304</v>
      </c>
      <c r="S25" s="54">
        <f>(27220692/(111939643-46205))*100</f>
        <v>24.327335442137365</v>
      </c>
      <c r="T25" s="54">
        <f>(27492000/113089000)*100</f>
        <v>24.310056681021141</v>
      </c>
      <c r="U25" s="54">
        <f>(27649000/114154000)*100</f>
        <v>24.22078945985248</v>
      </c>
      <c r="V25" s="54">
        <f>(27708000/115174000)*100</f>
        <v>24.057512980360151</v>
      </c>
      <c r="W25" s="61">
        <f>(27664000/116133000)*100</f>
        <v>23.820963894844706</v>
      </c>
    </row>
    <row r="26" spans="1:23" s="30" customFormat="1" ht="20.100000000000001" customHeight="1" x14ac:dyDescent="0.15">
      <c r="A26" s="28"/>
      <c r="B26" s="133"/>
      <c r="C26" s="90" t="s">
        <v>97</v>
      </c>
      <c r="D26" s="52">
        <f>(1681479/5039206)*100</f>
        <v>33.367935345369887</v>
      </c>
      <c r="E26" s="65" t="s">
        <v>209</v>
      </c>
      <c r="F26" s="65" t="s">
        <v>209</v>
      </c>
      <c r="G26" s="65" t="s">
        <v>209</v>
      </c>
      <c r="H26" s="65" t="s">
        <v>209</v>
      </c>
      <c r="I26" s="59">
        <f>(1462123/5171800)*100</f>
        <v>28.271066166518427</v>
      </c>
      <c r="J26" s="65" t="s">
        <v>209</v>
      </c>
      <c r="K26" s="65" t="s">
        <v>209</v>
      </c>
      <c r="L26" s="65" t="s">
        <v>209</v>
      </c>
      <c r="M26" s="65" t="s">
        <v>209</v>
      </c>
      <c r="N26" s="80">
        <f>(1309487/5184287)*100</f>
        <v>25.258767502647906</v>
      </c>
      <c r="O26" s="79">
        <f>(1302000/5188000)*100</f>
        <v>25.096376252891289</v>
      </c>
      <c r="P26" s="79">
        <f>(1302000/5205000)*100</f>
        <v>25.014409221902017</v>
      </c>
      <c r="Q26" s="79">
        <f>(1308000/5232000)*100</f>
        <v>25</v>
      </c>
      <c r="R26" s="79">
        <f>(1316000/5279000)*100</f>
        <v>24.928963818905096</v>
      </c>
      <c r="S26" s="79">
        <f>(1312611/5338206)*100</f>
        <v>24.588991132976133</v>
      </c>
      <c r="T26" s="79">
        <f>(1309000/5394000)*100</f>
        <v>24.267704857248795</v>
      </c>
      <c r="U26" s="79">
        <f>(1302000/5442000)*100</f>
        <v>23.925027563395808</v>
      </c>
      <c r="V26" s="79">
        <f>(1293000/5488000)*100</f>
        <v>23.56049562682216</v>
      </c>
      <c r="W26" s="81">
        <f>(1283000/5532000)*100</f>
        <v>23.192335502530732</v>
      </c>
    </row>
    <row r="27" spans="1:23" s="99" customFormat="1" ht="20.100000000000001" customHeight="1" x14ac:dyDescent="0.15">
      <c r="A27" s="93"/>
      <c r="B27" s="143" t="s">
        <v>158</v>
      </c>
      <c r="C27" s="91" t="s">
        <v>96</v>
      </c>
      <c r="D27" s="94">
        <f>(5397980/(94301623-129))*100</f>
        <v>5.7241723020846305</v>
      </c>
      <c r="E27" s="95" t="s">
        <v>209</v>
      </c>
      <c r="F27" s="95" t="s">
        <v>209</v>
      </c>
      <c r="G27" s="95" t="s">
        <v>209</v>
      </c>
      <c r="H27" s="95" t="s">
        <v>209</v>
      </c>
      <c r="I27" s="96">
        <f>(6235614/(99209137-51))*100</f>
        <v>6.2853255194791329</v>
      </c>
      <c r="J27" s="95" t="s">
        <v>209</v>
      </c>
      <c r="K27" s="95" t="s">
        <v>209</v>
      </c>
      <c r="L27" s="95" t="s">
        <v>209</v>
      </c>
      <c r="M27" s="95" t="s">
        <v>209</v>
      </c>
      <c r="N27" s="94">
        <f>(7393292/104665171)*100</f>
        <v>7.063755716789494</v>
      </c>
      <c r="O27" s="97">
        <f>(7524000/105014000)*100</f>
        <v>7.1647589845163502</v>
      </c>
      <c r="P27" s="97">
        <f>(7879000/107332000)*100</f>
        <v>7.3407744195580067</v>
      </c>
      <c r="Q27" s="97">
        <f>(8160000/108710000)*100</f>
        <v>7.506209180388189</v>
      </c>
      <c r="R27" s="97">
        <f>(8457000/110049000)*100</f>
        <v>7.6847586075293739</v>
      </c>
      <c r="S27" s="97">
        <f>(8865429/(111939643-46205))*100</f>
        <v>7.9231000123528244</v>
      </c>
      <c r="T27" s="97">
        <f>(9201000/113089000)*100</f>
        <v>8.1360698211143436</v>
      </c>
      <c r="U27" s="97">
        <f>(9561000/114154000)*100</f>
        <v>8.3755277957846417</v>
      </c>
      <c r="V27" s="97">
        <f>(9921000/115174000)*100</f>
        <v>8.6139232812961257</v>
      </c>
      <c r="W27" s="98">
        <f>(10309000/116133000)*100</f>
        <v>8.8768911506634627</v>
      </c>
    </row>
    <row r="28" spans="1:23" s="30" customFormat="1" ht="20.100000000000001" customHeight="1" thickBot="1" x14ac:dyDescent="0.2">
      <c r="A28" s="28"/>
      <c r="B28" s="135"/>
      <c r="C28" s="92" t="s">
        <v>160</v>
      </c>
      <c r="D28" s="56">
        <f>(212063/5039206)*100</f>
        <v>4.2082621746362427</v>
      </c>
      <c r="E28" s="66" t="s">
        <v>209</v>
      </c>
      <c r="F28" s="66" t="s">
        <v>209</v>
      </c>
      <c r="G28" s="66" t="s">
        <v>209</v>
      </c>
      <c r="H28" s="66" t="s">
        <v>209</v>
      </c>
      <c r="I28" s="60">
        <f>(249318/5171800)*100</f>
        <v>4.8207200587803083</v>
      </c>
      <c r="J28" s="66" t="s">
        <v>209</v>
      </c>
      <c r="K28" s="66" t="s">
        <v>209</v>
      </c>
      <c r="L28" s="66" t="s">
        <v>209</v>
      </c>
      <c r="M28" s="66" t="s">
        <v>209</v>
      </c>
      <c r="N28" s="82">
        <f>(299069/5184287)*100</f>
        <v>5.7687585583128405</v>
      </c>
      <c r="O28" s="82">
        <f>(309000/5188000)*100</f>
        <v>5.9560524286815726</v>
      </c>
      <c r="P28" s="82">
        <f>(323000/5205000)*100</f>
        <v>6.2055715658021136</v>
      </c>
      <c r="Q28" s="82">
        <f>(336000/5232000)*100</f>
        <v>6.4220183486238538</v>
      </c>
      <c r="R28" s="82">
        <f>(352000/5279000)*100</f>
        <v>6.6679295321083538</v>
      </c>
      <c r="S28" s="82">
        <f>(366651/5338206)*100</f>
        <v>6.8684310796548509</v>
      </c>
      <c r="T28" s="82">
        <f>(386000/5394000)*100</f>
        <v>7.1560993696700033</v>
      </c>
      <c r="U28" s="82">
        <f>(406000/5442000)*100</f>
        <v>7.460492466005145</v>
      </c>
      <c r="V28" s="82">
        <f>(425000/5488000)*100</f>
        <v>7.7441690962099132</v>
      </c>
      <c r="W28" s="83">
        <f>(446000/5532000)*100</f>
        <v>8.062183658712943</v>
      </c>
    </row>
    <row r="29" spans="1:23" s="21" customFormat="1" ht="39.950000000000003" customHeight="1" thickBot="1" x14ac:dyDescent="0.2">
      <c r="A29" s="19"/>
      <c r="B29" s="32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0"/>
    </row>
    <row r="30" spans="1:23" s="21" customFormat="1" ht="24" customHeight="1" x14ac:dyDescent="0.15">
      <c r="A30" s="19"/>
      <c r="B30" s="136"/>
      <c r="C30" s="137"/>
      <c r="D30" s="41" t="s">
        <v>88</v>
      </c>
      <c r="E30" s="12" t="s">
        <v>115</v>
      </c>
      <c r="F30" s="12" t="s">
        <v>116</v>
      </c>
      <c r="G30" s="12" t="s">
        <v>117</v>
      </c>
      <c r="H30" s="12" t="s">
        <v>118</v>
      </c>
      <c r="I30" s="12" t="s">
        <v>89</v>
      </c>
      <c r="J30" s="12" t="s">
        <v>119</v>
      </c>
      <c r="K30" s="35" t="s">
        <v>120</v>
      </c>
      <c r="L30" s="12" t="s">
        <v>121</v>
      </c>
      <c r="M30" s="12" t="s">
        <v>122</v>
      </c>
      <c r="N30" s="12" t="s">
        <v>90</v>
      </c>
      <c r="O30" s="12" t="s">
        <v>123</v>
      </c>
      <c r="P30" s="12" t="s">
        <v>124</v>
      </c>
      <c r="Q30" s="12" t="s">
        <v>125</v>
      </c>
      <c r="R30" s="12" t="s">
        <v>126</v>
      </c>
      <c r="S30" s="35" t="s">
        <v>91</v>
      </c>
      <c r="T30" s="12" t="s">
        <v>127</v>
      </c>
      <c r="U30" s="12" t="s">
        <v>128</v>
      </c>
      <c r="V30" s="12" t="s">
        <v>129</v>
      </c>
      <c r="W30" s="13" t="s">
        <v>130</v>
      </c>
    </row>
    <row r="31" spans="1:23" s="21" customFormat="1" ht="14.1" customHeight="1" thickBot="1" x14ac:dyDescent="0.2">
      <c r="A31" s="19"/>
      <c r="B31" s="138"/>
      <c r="C31" s="139"/>
      <c r="D31" s="42" t="s">
        <v>51</v>
      </c>
      <c r="E31" s="46" t="s">
        <v>199</v>
      </c>
      <c r="F31" s="46" t="s">
        <v>200</v>
      </c>
      <c r="G31" s="46" t="s">
        <v>52</v>
      </c>
      <c r="H31" s="46" t="s">
        <v>53</v>
      </c>
      <c r="I31" s="46" t="s">
        <v>165</v>
      </c>
      <c r="J31" s="46" t="s">
        <v>54</v>
      </c>
      <c r="K31" s="47" t="s">
        <v>55</v>
      </c>
      <c r="L31" s="46" t="s">
        <v>56</v>
      </c>
      <c r="M31" s="46" t="s">
        <v>166</v>
      </c>
      <c r="N31" s="46" t="s">
        <v>57</v>
      </c>
      <c r="O31" s="46" t="s">
        <v>201</v>
      </c>
      <c r="P31" s="46" t="s">
        <v>58</v>
      </c>
      <c r="Q31" s="46" t="s">
        <v>59</v>
      </c>
      <c r="R31" s="46" t="s">
        <v>60</v>
      </c>
      <c r="S31" s="47" t="s">
        <v>61</v>
      </c>
      <c r="T31" s="46" t="s">
        <v>62</v>
      </c>
      <c r="U31" s="46" t="s">
        <v>63</v>
      </c>
      <c r="V31" s="46" t="s">
        <v>202</v>
      </c>
      <c r="W31" s="40" t="s">
        <v>203</v>
      </c>
    </row>
    <row r="32" spans="1:23" s="18" customFormat="1" ht="20.100000000000001" customHeight="1" thickTop="1" x14ac:dyDescent="0.15">
      <c r="A32" s="17"/>
      <c r="B32" s="146" t="s">
        <v>98</v>
      </c>
      <c r="C32" s="87" t="s">
        <v>96</v>
      </c>
      <c r="D32" s="108">
        <f>(78834599/(117060396-71363))*100</f>
        <v>67.386315604472088</v>
      </c>
      <c r="E32" s="77">
        <f>(79272000/117884000)*100</f>
        <v>67.245767025211222</v>
      </c>
      <c r="F32" s="77">
        <f>(80089000/118693000)*100</f>
        <v>67.475756784309098</v>
      </c>
      <c r="G32" s="77">
        <f>(80904000/119483000)*100</f>
        <v>67.711724680498492</v>
      </c>
      <c r="H32" s="77">
        <f>(81776000/120235000)*100</f>
        <v>68.013473614172256</v>
      </c>
      <c r="I32" s="77">
        <f>(82506016/(121048923-41346))*100</f>
        <v>68.182520504480465</v>
      </c>
      <c r="J32" s="77">
        <f>(83368000/121672000)*100</f>
        <v>68.5186402787823</v>
      </c>
      <c r="K32" s="77">
        <f>(84189000/122264000)*100</f>
        <v>68.858372047372896</v>
      </c>
      <c r="L32" s="77">
        <f>(85013000/122783000)*100</f>
        <v>69.238412483812908</v>
      </c>
      <c r="M32" s="77">
        <f>(85745000/123255000)*100</f>
        <v>69.567157518964748</v>
      </c>
      <c r="N32" s="77">
        <f>(85903976/(123611167-326357))*100</f>
        <v>69.679286523619581</v>
      </c>
      <c r="O32" s="77">
        <f>(86557000/124043000)*100</f>
        <v>69.779834412260271</v>
      </c>
      <c r="P32" s="77">
        <f>(86845000/124452000)*100</f>
        <v>69.781923954617042</v>
      </c>
      <c r="Q32" s="77">
        <f>(87023000/124764000)*100</f>
        <v>69.750088166458269</v>
      </c>
      <c r="R32" s="77">
        <f>(87034000/125034000)*100</f>
        <v>69.608266551497991</v>
      </c>
      <c r="S32" s="77">
        <f>(87164721/(125570246-130973))*100</f>
        <v>69.487584641852948</v>
      </c>
      <c r="T32" s="77">
        <f>(87161000/125864000)*100</f>
        <v>69.250143011504477</v>
      </c>
      <c r="U32" s="77">
        <f>(87042000/126166000)*100</f>
        <v>68.990060713662942</v>
      </c>
      <c r="V32" s="77">
        <f>(86920000/126486000)*100</f>
        <v>68.71906772291004</v>
      </c>
      <c r="W32" s="78">
        <f>(86758000/126686000)*100</f>
        <v>68.482705271300688</v>
      </c>
    </row>
    <row r="33" spans="1:23" s="18" customFormat="1" ht="20.100000000000001" customHeight="1" x14ac:dyDescent="0.15">
      <c r="A33" s="17"/>
      <c r="B33" s="141"/>
      <c r="C33" s="88" t="s">
        <v>97</v>
      </c>
      <c r="D33" s="75">
        <f>(3823808/(5575989-2130))*100</f>
        <v>68.602524749908454</v>
      </c>
      <c r="E33" s="75">
        <f>(3836000/5607000)*100</f>
        <v>68.414481897627965</v>
      </c>
      <c r="F33" s="75">
        <f>(3864000/5633000)*100</f>
        <v>68.595774897922951</v>
      </c>
      <c r="G33" s="75">
        <f>(3887000000/5660000000)*100</f>
        <v>68.674911660777383</v>
      </c>
      <c r="H33" s="75">
        <f>(3907000000/5677000000)*100</f>
        <v>68.821560683459566</v>
      </c>
      <c r="I33" s="75">
        <f>(3910729/(5679439-1264))*100</f>
        <v>68.872991762318009</v>
      </c>
      <c r="J33" s="75">
        <f>(3921000/5678000)*100</f>
        <v>69.056005635787258</v>
      </c>
      <c r="K33" s="75">
        <f>(3926000/5671000)*100</f>
        <v>69.229412801974959</v>
      </c>
      <c r="L33" s="75">
        <f>(3941000/5671000)*100</f>
        <v>69.493916416857687</v>
      </c>
      <c r="M33" s="75">
        <f>(3954000/5670000)*100</f>
        <v>69.735449735449734</v>
      </c>
      <c r="N33" s="75">
        <f>(3924717/(5643647-9798))*100</f>
        <v>69.663155686281257</v>
      </c>
      <c r="O33" s="75">
        <f>(3941000000/5649000000)*100</f>
        <v>69.764560099132595</v>
      </c>
      <c r="P33" s="75">
        <f>(3948000/5659000)*100</f>
        <v>69.764976144195089</v>
      </c>
      <c r="Q33" s="75">
        <f>(3951000/5666000)*100</f>
        <v>69.731733145075893</v>
      </c>
      <c r="R33" s="75">
        <f>(3952000/5677000)*100</f>
        <v>69.614232869473312</v>
      </c>
      <c r="S33" s="75">
        <f>(3942868/(5692321-5853))*100</f>
        <v>69.337733018105439</v>
      </c>
      <c r="T33" s="75">
        <f>(3939000/5699000)*100</f>
        <v>69.117389015616766</v>
      </c>
      <c r="U33" s="75">
        <f>(3927000/5702000)*100</f>
        <v>68.870571729217829</v>
      </c>
      <c r="V33" s="75">
        <f>(3911000/5700000)*100</f>
        <v>68.614035087719287</v>
      </c>
      <c r="W33" s="76">
        <f>(3892000/5695000)*100</f>
        <v>68.340649692712901</v>
      </c>
    </row>
    <row r="34" spans="1:23" s="30" customFormat="1" ht="20.100000000000001" customHeight="1" x14ac:dyDescent="0.15">
      <c r="A34" s="28"/>
      <c r="B34" s="132" t="s">
        <v>95</v>
      </c>
      <c r="C34" s="89" t="s">
        <v>96</v>
      </c>
      <c r="D34" s="50">
        <f>(27507078/(117060396-71363))*100</f>
        <v>23.512527024648541</v>
      </c>
      <c r="E34" s="54">
        <f>(27603000/117884000)*100</f>
        <v>23.415391401716942</v>
      </c>
      <c r="F34" s="54">
        <f>(27254000/118693000)*100</f>
        <v>22.961758486178631</v>
      </c>
      <c r="G34" s="54">
        <f>(26907000/119483000)*100</f>
        <v>22.51952160558406</v>
      </c>
      <c r="H34" s="54">
        <f>(26504000/120235000)*100</f>
        <v>22.043498149457314</v>
      </c>
      <c r="I34" s="54">
        <f>(26033218/(121048923-41346))*100</f>
        <v>21.513709013444672</v>
      </c>
      <c r="J34" s="54">
        <f>(25434000/121672000)*100</f>
        <v>20.903741205864947</v>
      </c>
      <c r="K34" s="54">
        <f>(24753000/122264000)*100</f>
        <v>20.245534253745991</v>
      </c>
      <c r="L34" s="54">
        <f>(23985000/122783000)*100</f>
        <v>19.534463240025087</v>
      </c>
      <c r="M34" s="54">
        <f>(23201000/123255000)*100</f>
        <v>18.823577136830149</v>
      </c>
      <c r="N34" s="54">
        <f>(22486239/(123611167-326357))*100</f>
        <v>18.239261592729875</v>
      </c>
      <c r="O34" s="54">
        <f>(21904000/124043000)*100</f>
        <v>17.658392654160252</v>
      </c>
      <c r="P34" s="54">
        <f>(21364000/124452000)*100</f>
        <v>17.166457750779418</v>
      </c>
      <c r="Q34" s="54">
        <f>(20841000/124764000)*100</f>
        <v>16.704337789747044</v>
      </c>
      <c r="R34" s="54">
        <f>(20415000/125034000)*100</f>
        <v>16.327558903978119</v>
      </c>
      <c r="S34" s="54">
        <f>(20013730/(125570246-130973))*100</f>
        <v>15.954915491259264</v>
      </c>
      <c r="T34" s="54">
        <f>(19686000/125864000)*100</f>
        <v>15.640691540075002</v>
      </c>
      <c r="U34" s="54">
        <f>(19366000/126166000)*100</f>
        <v>15.349618756241776</v>
      </c>
      <c r="V34" s="54">
        <f>(19059000/126486000)*100</f>
        <v>15.068070774631185</v>
      </c>
      <c r="W34" s="61">
        <f>(18742000/126686000)*100</f>
        <v>14.794057749080402</v>
      </c>
    </row>
    <row r="35" spans="1:23" s="30" customFormat="1" ht="20.100000000000001" customHeight="1" x14ac:dyDescent="0.15">
      <c r="A35" s="28"/>
      <c r="B35" s="133"/>
      <c r="C35" s="90" t="s">
        <v>97</v>
      </c>
      <c r="D35" s="79">
        <f>(1298324/(5575989-2130))*100</f>
        <v>23.293090119430719</v>
      </c>
      <c r="E35" s="79">
        <f>(1300000/5607000)*100</f>
        <v>23.185304084180487</v>
      </c>
      <c r="F35" s="79">
        <f>(1281000/5633000)*100</f>
        <v>22.740990591159242</v>
      </c>
      <c r="G35" s="79">
        <f>(1266000000/5660000000)*100</f>
        <v>22.367491166077738</v>
      </c>
      <c r="H35" s="79">
        <f>(1247000000/5677000000)*100</f>
        <v>21.965827021314073</v>
      </c>
      <c r="I35" s="79">
        <f>(1217959/(5679439-1264))*100</f>
        <v>21.44983203229911</v>
      </c>
      <c r="J35" s="79">
        <f>(1187000/5678000)*100</f>
        <v>20.905248326875661</v>
      </c>
      <c r="K35" s="79">
        <f>(1150000/5671000)*100</f>
        <v>20.27861047434315</v>
      </c>
      <c r="L35" s="79">
        <f>(1112000/5671000)*100</f>
        <v>19.608534649973549</v>
      </c>
      <c r="M35" s="79">
        <f>(1074000/5670000)*100</f>
        <v>18.941798941798943</v>
      </c>
      <c r="N35" s="79">
        <f>(1034251/(5643647-9798))*100</f>
        <v>18.357804761895462</v>
      </c>
      <c r="O35" s="79">
        <f>(1000000/5649000)*100</f>
        <v>17.702248185519561</v>
      </c>
      <c r="P35" s="79">
        <f>(971000/5659000)*100</f>
        <v>17.1585085704188</v>
      </c>
      <c r="Q35" s="79">
        <f>(940000/5666000)*100</f>
        <v>16.590187080833037</v>
      </c>
      <c r="R35" s="79">
        <f>(915000/5677000)*100</f>
        <v>16.117667782279373</v>
      </c>
      <c r="S35" s="79">
        <f>(898673/(5692321-5853))*100</f>
        <v>15.803711548187731</v>
      </c>
      <c r="T35" s="79">
        <f>(876000/5699000)*100</f>
        <v>15.371117739954379</v>
      </c>
      <c r="U35" s="79">
        <f>(854000/5702000)*100</f>
        <v>14.97720098211154</v>
      </c>
      <c r="V35" s="79">
        <f>(831000/5700000)*100</f>
        <v>14.578947368421053</v>
      </c>
      <c r="W35" s="81">
        <f>(808000/5695000)*100</f>
        <v>14.187884108867427</v>
      </c>
    </row>
    <row r="36" spans="1:23" s="99" customFormat="1" ht="20.100000000000001" customHeight="1" x14ac:dyDescent="0.15">
      <c r="A36" s="93"/>
      <c r="B36" s="134" t="s">
        <v>158</v>
      </c>
      <c r="C36" s="91" t="s">
        <v>96</v>
      </c>
      <c r="D36" s="100">
        <f>(10647356/(117060396-71363))*100</f>
        <v>9.1011573708793723</v>
      </c>
      <c r="E36" s="97">
        <f>(11009000/117884000)*100</f>
        <v>9.3388415730718339</v>
      </c>
      <c r="F36" s="97">
        <f>(11350000/118693000)*100</f>
        <v>9.5624847295122724</v>
      </c>
      <c r="G36" s="97">
        <f>(11672000/119483000)*100</f>
        <v>9.7687537139174605</v>
      </c>
      <c r="H36" s="97">
        <f>(11956000/120235000)*100</f>
        <v>9.9438599409489754</v>
      </c>
      <c r="I36" s="97">
        <f>(12468343/(121048923-41346))*100</f>
        <v>10.303770482074853</v>
      </c>
      <c r="J36" s="97">
        <f>(12870000/121672000)*100</f>
        <v>10.577618515352752</v>
      </c>
      <c r="K36" s="97">
        <f>(13322000/122264000)*100</f>
        <v>10.89609369888111</v>
      </c>
      <c r="L36" s="97">
        <f>(13785000/122783000)*100</f>
        <v>11.227124276162009</v>
      </c>
      <c r="M36" s="97">
        <f>(14309000/123255000)*100</f>
        <v>11.609265344205104</v>
      </c>
      <c r="N36" s="97">
        <f>(14894595/(123611167-326357))*100</f>
        <v>12.081451883650548</v>
      </c>
      <c r="O36" s="97">
        <f>(15582000/124043000)*100</f>
        <v>12.561772933579485</v>
      </c>
      <c r="P36" s="97">
        <f>(16242000/124452000)*100</f>
        <v>13.050814771960273</v>
      </c>
      <c r="Q36" s="97">
        <f>(16900000/124764000)*100</f>
        <v>13.545574043794684</v>
      </c>
      <c r="R36" s="97">
        <f>(17585000/125034000)*100</f>
        <v>14.064174544523889</v>
      </c>
      <c r="S36" s="97">
        <f>(18260822/(125570246-130973))*100</f>
        <v>14.557499866887779</v>
      </c>
      <c r="T36" s="97">
        <f>(19017000/125864000)*100</f>
        <v>15.109165448420518</v>
      </c>
      <c r="U36" s="97">
        <f>(19758000/126166000)*100</f>
        <v>15.660320530095269</v>
      </c>
      <c r="V36" s="97">
        <f>(20508000/126486000)*100</f>
        <v>16.213652103790142</v>
      </c>
      <c r="W36" s="98">
        <f>(21186000/126686000)*100</f>
        <v>16.7232369796189</v>
      </c>
    </row>
    <row r="37" spans="1:23" s="30" customFormat="1" ht="20.100000000000001" customHeight="1" thickBot="1" x14ac:dyDescent="0.2">
      <c r="A37" s="28"/>
      <c r="B37" s="135"/>
      <c r="C37" s="92" t="s">
        <v>160</v>
      </c>
      <c r="D37" s="82">
        <f>(451727/(5575989-2130))*100</f>
        <v>8.1043851306608232</v>
      </c>
      <c r="E37" s="82">
        <f>(471000/5607000)*100</f>
        <v>8.4002140181915461</v>
      </c>
      <c r="F37" s="82">
        <f>(488000/5633000)*100</f>
        <v>8.6632345109178051</v>
      </c>
      <c r="G37" s="82">
        <f>(506000000/5660000000)*100</f>
        <v>8.9399293286219077</v>
      </c>
      <c r="H37" s="82">
        <f>(523000000/5677000000)*100</f>
        <v>9.2126122952263518</v>
      </c>
      <c r="I37" s="82">
        <f>(549487/(5679439-1264))*100</f>
        <v>9.6771762053828905</v>
      </c>
      <c r="J37" s="82">
        <f>(570000/5678000)*100</f>
        <v>10.03874603733709</v>
      </c>
      <c r="K37" s="82">
        <f>(594000/5671000)*100</f>
        <v>10.474343149356374</v>
      </c>
      <c r="L37" s="82">
        <f>(617000/5671000)*100</f>
        <v>10.879915358843238</v>
      </c>
      <c r="M37" s="82">
        <f>(643000/5670000)*100</f>
        <v>11.340388007054674</v>
      </c>
      <c r="N37" s="82">
        <f>(674881/(5643647-9798))*100</f>
        <v>11.979039551823274</v>
      </c>
      <c r="O37" s="82">
        <f>(707000/5649000)*100</f>
        <v>12.515489467162331</v>
      </c>
      <c r="P37" s="82">
        <f>(740000/5659000)*100</f>
        <v>13.076515285386112</v>
      </c>
      <c r="Q37" s="82">
        <f>(774000/5666000)*100</f>
        <v>13.660430638898694</v>
      </c>
      <c r="R37" s="82">
        <f>(809000/5677000)*100</f>
        <v>14.250484410780343</v>
      </c>
      <c r="S37" s="82">
        <f>(844927/(5692321-5853))*100</f>
        <v>14.858555433706828</v>
      </c>
      <c r="T37" s="82">
        <f>(884000/5699000)*100</f>
        <v>15.511493244428848</v>
      </c>
      <c r="U37" s="82">
        <f>(920000/5702000)*100</f>
        <v>16.134689582602597</v>
      </c>
      <c r="V37" s="82">
        <f>(958000/5700000)*100</f>
        <v>16.807017543859647</v>
      </c>
      <c r="W37" s="83">
        <f>(994000/5695000)*100</f>
        <v>17.453906935908691</v>
      </c>
    </row>
    <row r="38" spans="1:23" s="21" customFormat="1" ht="39.950000000000003" customHeight="1" thickBot="1" x14ac:dyDescent="0.2">
      <c r="A38" s="19"/>
      <c r="B38" s="32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4"/>
      <c r="P38" s="34"/>
      <c r="Q38" s="34"/>
      <c r="R38" s="34"/>
      <c r="S38" s="34"/>
      <c r="T38" s="34"/>
      <c r="U38" s="34"/>
      <c r="V38" s="20"/>
    </row>
    <row r="39" spans="1:23" s="21" customFormat="1" ht="24" customHeight="1" x14ac:dyDescent="0.15">
      <c r="A39" s="19"/>
      <c r="B39" s="136"/>
      <c r="C39" s="137"/>
      <c r="D39" s="41" t="s">
        <v>92</v>
      </c>
      <c r="E39" s="12" t="s">
        <v>131</v>
      </c>
      <c r="F39" s="12" t="s">
        <v>132</v>
      </c>
      <c r="G39" s="12" t="s">
        <v>133</v>
      </c>
      <c r="H39" s="35" t="s">
        <v>134</v>
      </c>
      <c r="I39" s="12" t="s">
        <v>93</v>
      </c>
      <c r="J39" s="12" t="s">
        <v>135</v>
      </c>
      <c r="K39" s="12" t="s">
        <v>136</v>
      </c>
      <c r="L39" s="12" t="s">
        <v>137</v>
      </c>
      <c r="M39" s="12" t="s">
        <v>138</v>
      </c>
      <c r="N39" s="12" t="s">
        <v>94</v>
      </c>
      <c r="O39" s="12" t="s">
        <v>139</v>
      </c>
      <c r="P39" s="12" t="s">
        <v>140</v>
      </c>
      <c r="Q39" s="12" t="s">
        <v>141</v>
      </c>
      <c r="R39" s="12" t="s">
        <v>142</v>
      </c>
      <c r="S39" s="12" t="s">
        <v>147</v>
      </c>
      <c r="T39" s="12" t="s">
        <v>148</v>
      </c>
      <c r="U39" s="12" t="s">
        <v>149</v>
      </c>
      <c r="V39" s="12" t="s">
        <v>150</v>
      </c>
      <c r="W39" s="116" t="s">
        <v>156</v>
      </c>
    </row>
    <row r="40" spans="1:23" s="21" customFormat="1" ht="14.1" customHeight="1" thickBot="1" x14ac:dyDescent="0.2">
      <c r="A40" s="19"/>
      <c r="B40" s="138"/>
      <c r="C40" s="139"/>
      <c r="D40" s="42" t="s">
        <v>64</v>
      </c>
      <c r="E40" s="39" t="s">
        <v>204</v>
      </c>
      <c r="F40" s="39" t="s">
        <v>205</v>
      </c>
      <c r="G40" s="39" t="s">
        <v>65</v>
      </c>
      <c r="H40" s="43" t="s">
        <v>66</v>
      </c>
      <c r="I40" s="39" t="s">
        <v>67</v>
      </c>
      <c r="J40" s="39" t="s">
        <v>68</v>
      </c>
      <c r="K40" s="39" t="s">
        <v>69</v>
      </c>
      <c r="L40" s="39" t="s">
        <v>70</v>
      </c>
      <c r="M40" s="39" t="s">
        <v>71</v>
      </c>
      <c r="N40" s="39" t="s">
        <v>72</v>
      </c>
      <c r="O40" s="39" t="s">
        <v>73</v>
      </c>
      <c r="P40" s="39" t="s">
        <v>74</v>
      </c>
      <c r="Q40" s="39" t="s">
        <v>75</v>
      </c>
      <c r="R40" s="39" t="s">
        <v>143</v>
      </c>
      <c r="S40" s="46" t="s">
        <v>144</v>
      </c>
      <c r="T40" s="46" t="s">
        <v>145</v>
      </c>
      <c r="U40" s="46" t="s">
        <v>146</v>
      </c>
      <c r="V40" s="46" t="s">
        <v>211</v>
      </c>
      <c r="W40" s="117" t="s">
        <v>213</v>
      </c>
    </row>
    <row r="41" spans="1:23" s="21" customFormat="1" ht="20.100000000000001" customHeight="1" thickTop="1" x14ac:dyDescent="0.15">
      <c r="A41" s="19"/>
      <c r="B41" s="140" t="s">
        <v>98</v>
      </c>
      <c r="C41" s="87" t="s">
        <v>96</v>
      </c>
      <c r="D41" s="77">
        <f>(86219631/(126925843-228561))*100</f>
        <v>68.051681645388413</v>
      </c>
      <c r="E41" s="84">
        <f>(86139000/127291000)*100</f>
        <v>67.670927245445483</v>
      </c>
      <c r="F41" s="84">
        <f>(85706000/127435000)*100</f>
        <v>67.25467885588732</v>
      </c>
      <c r="G41" s="84">
        <f>(85404000/127619000)*100</f>
        <v>66.921069746667811</v>
      </c>
      <c r="H41" s="84">
        <f>(85077000/127687000)*100</f>
        <v>66.629335797692789</v>
      </c>
      <c r="I41" s="84">
        <f>(84092414/(127767994-482341))*100</f>
        <v>66.065901394244335</v>
      </c>
      <c r="J41" s="84">
        <f>(83731000/127770000)*100</f>
        <v>65.532597636377858</v>
      </c>
      <c r="K41" s="84">
        <f>(83015000/127771000)*100</f>
        <v>64.971707194903388</v>
      </c>
      <c r="L41" s="84">
        <f>(82300000/127692000)*100</f>
        <v>64.451962534849486</v>
      </c>
      <c r="M41" s="84">
        <f>(81493000/127510000)*100</f>
        <v>63.91106579876088</v>
      </c>
      <c r="N41" s="84">
        <f>(81031800/(128057352-976423))*100</f>
        <v>63.76393424067588</v>
      </c>
      <c r="O41" s="84">
        <f>(81342000/127799000)*100</f>
        <v>63.648385355127978</v>
      </c>
      <c r="P41" s="84">
        <f>(80175000/127515000)*100</f>
        <v>62.87495588754264</v>
      </c>
      <c r="Q41" s="84">
        <f>(79010000/127298000)*100</f>
        <v>62.066960989175001</v>
      </c>
      <c r="R41" s="84">
        <f>(77850000/127083000)*100</f>
        <v>61.259177073251337</v>
      </c>
      <c r="S41" s="84">
        <f>(76288736/(127094745-1453758))*100</f>
        <v>60.719624878464217</v>
      </c>
      <c r="T41" s="147">
        <v>60.4</v>
      </c>
      <c r="U41" s="84">
        <v>60</v>
      </c>
      <c r="V41" s="84">
        <v>59.8</v>
      </c>
      <c r="W41" s="110">
        <v>59.7</v>
      </c>
    </row>
    <row r="42" spans="1:23" s="21" customFormat="1" ht="20.100000000000001" customHeight="1" x14ac:dyDescent="0.15">
      <c r="A42" s="19"/>
      <c r="B42" s="144"/>
      <c r="C42" s="88" t="s">
        <v>97</v>
      </c>
      <c r="D42" s="75">
        <f>(3832902/(5683062-26256))*100</f>
        <v>67.757352824190903</v>
      </c>
      <c r="E42" s="75">
        <f>(3828000/5679000)*100</f>
        <v>67.406233491811946</v>
      </c>
      <c r="F42" s="75">
        <f>(3798000/5670000)*100</f>
        <v>66.984126984126974</v>
      </c>
      <c r="G42" s="75">
        <f>(3767000/5659000)*100</f>
        <v>66.566531189256054</v>
      </c>
      <c r="H42" s="75">
        <f>(3737000/5644000)*100</f>
        <v>66.211906449326719</v>
      </c>
      <c r="I42" s="75">
        <f>(3696064/(5627737-6924))*100</f>
        <v>65.756750847252874</v>
      </c>
      <c r="J42" s="75">
        <f>(3656000/5601000)*100</f>
        <v>65.274058203892167</v>
      </c>
      <c r="K42" s="75">
        <f>(3608000/5570000)*100</f>
        <v>64.775583482944342</v>
      </c>
      <c r="L42" s="75">
        <f>(3555000/5535000)*100</f>
        <v>64.22764227642277</v>
      </c>
      <c r="M42" s="75">
        <f>(3510000/5507000)*100</f>
        <v>63.737061921191206</v>
      </c>
      <c r="N42" s="75">
        <f>(3482169/(5506419-8870))*100</f>
        <v>63.340390417620654</v>
      </c>
      <c r="O42" s="75">
        <f>(3455000/5486000)*100</f>
        <v>62.978490703609189</v>
      </c>
      <c r="P42" s="75">
        <f>(3398000/5460000)*100</f>
        <v>62.234432234432234</v>
      </c>
      <c r="Q42" s="75">
        <f>(3332000/5431000)*100</f>
        <v>61.351500644448528</v>
      </c>
      <c r="R42" s="75">
        <f>(3261000/5400000)*100</f>
        <v>60.388888888888893</v>
      </c>
      <c r="S42" s="49">
        <f>(3190804/(5381733-24246))*100</f>
        <v>59.557848670468076</v>
      </c>
      <c r="T42" s="49">
        <v>58.9</v>
      </c>
      <c r="U42" s="49">
        <v>58.3</v>
      </c>
      <c r="V42" s="49">
        <v>57.8</v>
      </c>
      <c r="W42" s="111">
        <v>57.5</v>
      </c>
    </row>
    <row r="43" spans="1:23" s="30" customFormat="1" ht="20.100000000000001" customHeight="1" x14ac:dyDescent="0.15">
      <c r="A43" s="28"/>
      <c r="B43" s="142" t="s">
        <v>95</v>
      </c>
      <c r="C43" s="89" t="s">
        <v>96</v>
      </c>
      <c r="D43" s="54">
        <f>(18472499/(126925843-228561))*100</f>
        <v>14.580027849374069</v>
      </c>
      <c r="E43" s="54">
        <f>(18283000/127291000)*100</f>
        <v>14.363152147441689</v>
      </c>
      <c r="F43" s="54">
        <f>(18102000/127435000)*100</f>
        <v>14.204888766822302</v>
      </c>
      <c r="G43" s="54">
        <f>(17905000/127619000)*100</f>
        <v>14.030042548523339</v>
      </c>
      <c r="H43" s="54">
        <f>(17734000/127687000)*100</f>
        <v>13.88864958844675</v>
      </c>
      <c r="I43" s="51">
        <f>(17521234/( 127767994-482341))*100</f>
        <v>13.7652858645428</v>
      </c>
      <c r="J43" s="51">
        <f>(17435000/127770000)*100</f>
        <v>13.645613211238944</v>
      </c>
      <c r="K43" s="51">
        <f>(17293000/127771000)*100</f>
        <v>13.534370083978366</v>
      </c>
      <c r="L43" s="51">
        <f>(17176000/127692000)*100</f>
        <v>13.451116749678915</v>
      </c>
      <c r="M43" s="51">
        <f>(17011000/127510000)*100</f>
        <v>13.340914438083287</v>
      </c>
      <c r="N43" s="51">
        <f>(16803444/(128057352-976423))*100</f>
        <v>13.222632327467485</v>
      </c>
      <c r="O43" s="51">
        <f>(16705000/127799000)*100</f>
        <v>13.071307287224471</v>
      </c>
      <c r="P43" s="51">
        <f>(16547000/127515000)*100</f>
        <v>12.976512567148962</v>
      </c>
      <c r="Q43" s="51">
        <f>(16390000/127298000)*100</f>
        <v>12.875300476048327</v>
      </c>
      <c r="R43" s="51">
        <f>(16233000/127083000)*100</f>
        <v>12.773541701092986</v>
      </c>
      <c r="S43" s="51">
        <f>(15886810/(127094745-1453758))*100</f>
        <v>12.64460776641304</v>
      </c>
      <c r="T43" s="51">
        <v>12.4</v>
      </c>
      <c r="U43" s="51">
        <v>12.3</v>
      </c>
      <c r="V43" s="51">
        <v>12.2</v>
      </c>
      <c r="W43" s="112">
        <v>12.1</v>
      </c>
    </row>
    <row r="44" spans="1:23" s="30" customFormat="1" ht="20.100000000000001" customHeight="1" x14ac:dyDescent="0.15">
      <c r="A44" s="28"/>
      <c r="B44" s="145"/>
      <c r="C44" s="90" t="s">
        <v>97</v>
      </c>
      <c r="D44" s="79">
        <f>(792352/(5683062-26256))*100</f>
        <v>14.007056278755185</v>
      </c>
      <c r="E44" s="79">
        <f>(777000/5679000)*100</f>
        <v>13.681986265187533</v>
      </c>
      <c r="F44" s="79">
        <f>(761000/5670000)*100</f>
        <v>13.421516754850089</v>
      </c>
      <c r="G44" s="79">
        <f>(745000/5659000)*100</f>
        <v>13.164870118395477</v>
      </c>
      <c r="H44" s="79">
        <f>(732000/5644000)*100</f>
        <v>12.969525159461377</v>
      </c>
      <c r="I44" s="79">
        <f>(719057/(5627737-6924))*100</f>
        <v>12.792757915981193</v>
      </c>
      <c r="J44" s="79">
        <f>(704000/5601000)*100</f>
        <v>12.569184074272451</v>
      </c>
      <c r="K44" s="79">
        <f>(689000/5570000)*100</f>
        <v>12.369838420107721</v>
      </c>
      <c r="L44" s="79">
        <f>(675000/5535000)*100</f>
        <v>12.195121951219512</v>
      </c>
      <c r="M44" s="79">
        <f>(663000/5507000)*100</f>
        <v>12.039222807336118</v>
      </c>
      <c r="N44" s="79">
        <f>(657312/(5506419-8870))*100</f>
        <v>11.956455504080092</v>
      </c>
      <c r="O44" s="79">
        <f>(650000/5486000)*100</f>
        <v>11.848341232227488</v>
      </c>
      <c r="P44" s="79">
        <f>(640000/5460000)*100</f>
        <v>11.721611721611721</v>
      </c>
      <c r="Q44" s="79">
        <f>(630000/5431000)*100</f>
        <v>11.600073651261278</v>
      </c>
      <c r="R44" s="79">
        <f>(621000/5400000)*100</f>
        <v>11.5</v>
      </c>
      <c r="S44" s="79">
        <f>(608296/(5381733-24246))*100</f>
        <v>11.354129277401887</v>
      </c>
      <c r="T44" s="79">
        <v>11.2</v>
      </c>
      <c r="U44" s="79">
        <v>11.1</v>
      </c>
      <c r="V44" s="79">
        <v>11</v>
      </c>
      <c r="W44" s="113">
        <v>10.8</v>
      </c>
    </row>
    <row r="45" spans="1:23" s="99" customFormat="1" ht="20.100000000000001" customHeight="1" x14ac:dyDescent="0.15">
      <c r="A45" s="93"/>
      <c r="B45" s="143" t="s">
        <v>158</v>
      </c>
      <c r="C45" s="91" t="s">
        <v>96</v>
      </c>
      <c r="D45" s="97">
        <f>(22005152/(126925843-228561))*100</f>
        <v>17.368290505237518</v>
      </c>
      <c r="E45" s="97">
        <f>(22869000/127291000)*100</f>
        <v>17.965920607112835</v>
      </c>
      <c r="F45" s="97">
        <f>(23628000/127435000)*100</f>
        <v>18.541217091066034</v>
      </c>
      <c r="G45" s="97">
        <f>(24311000/127619000)*100</f>
        <v>19.04967128719078</v>
      </c>
      <c r="H45" s="97">
        <f>(24876000/127687000)*100</f>
        <v>19.482014613860454</v>
      </c>
      <c r="I45" s="94">
        <f>(25672005/(127767994-482341))*100</f>
        <v>20.168812741212868</v>
      </c>
      <c r="J45" s="94">
        <f>(26604000/127770000)*100</f>
        <v>20.82178915238319</v>
      </c>
      <c r="K45" s="94">
        <f>(27464000/127771000)*100</f>
        <v>21.494705371328394</v>
      </c>
      <c r="L45" s="94">
        <f>(28216000/127692000)*100</f>
        <v>22.096920715471605</v>
      </c>
      <c r="M45" s="94">
        <f>(29005000/127510000)*100</f>
        <v>22.747235510940321</v>
      </c>
      <c r="N45" s="94">
        <f>(29245685/(128057352-976423))*100</f>
        <v>23.01343343185664</v>
      </c>
      <c r="O45" s="94">
        <f>(29752000/127799000)*100</f>
        <v>23.280307357647555</v>
      </c>
      <c r="P45" s="94">
        <f>(30793000/127515000)*100</f>
        <v>24.148531545308394</v>
      </c>
      <c r="Q45" s="94">
        <f>(31898000/127298000)*100</f>
        <v>25.057738534776664</v>
      </c>
      <c r="R45" s="94">
        <f>(33000000/127083000)*100</f>
        <v>25.967281225655675</v>
      </c>
      <c r="S45" s="94">
        <f>(33465441/(127094745-1453758))*100</f>
        <v>26.635767355122734</v>
      </c>
      <c r="T45" s="94">
        <v>27.2</v>
      </c>
      <c r="U45" s="94">
        <v>27.6</v>
      </c>
      <c r="V45" s="94">
        <v>28</v>
      </c>
      <c r="W45" s="114">
        <v>28.3</v>
      </c>
    </row>
    <row r="46" spans="1:23" s="21" customFormat="1" ht="20.100000000000001" customHeight="1" thickBot="1" x14ac:dyDescent="0.2">
      <c r="A46" s="19"/>
      <c r="B46" s="135"/>
      <c r="C46" s="92" t="s">
        <v>160</v>
      </c>
      <c r="D46" s="82">
        <f>(1031552/(5683062-26256))*100</f>
        <v>18.235590897053921</v>
      </c>
      <c r="E46" s="82">
        <f>(1074000/5679000)*100</f>
        <v>18.911780243000528</v>
      </c>
      <c r="F46" s="82">
        <f>(1110000/5670000)*100</f>
        <v>19.576719576719576</v>
      </c>
      <c r="G46" s="82">
        <f>(1147000/5659000)*100</f>
        <v>20.268598692348473</v>
      </c>
      <c r="H46" s="82">
        <f>(1175000/5644000)*100</f>
        <v>20.818568391211905</v>
      </c>
      <c r="I46" s="82">
        <f>(1205692/(5627737-6924))*100</f>
        <v>21.450491236765927</v>
      </c>
      <c r="J46" s="82">
        <f>(1241000/5601000)*100</f>
        <v>22.156757721835387</v>
      </c>
      <c r="K46" s="82">
        <f>(1274000/5570000)*100</f>
        <v>22.872531418312388</v>
      </c>
      <c r="L46" s="82">
        <f>(1305000/5535000)*100</f>
        <v>23.577235772357724</v>
      </c>
      <c r="M46" s="82">
        <f>(1334000/5507000)*100</f>
        <v>24.22371527147267</v>
      </c>
      <c r="N46" s="82">
        <f>(1358068/(5506419-8870))*100</f>
        <v>24.703154078299256</v>
      </c>
      <c r="O46" s="82">
        <f>(1382000/5486000)*100</f>
        <v>25.191396281443673</v>
      </c>
      <c r="P46" s="82">
        <f>(1422000/5460000)*100</f>
        <v>26.043956043956047</v>
      </c>
      <c r="Q46" s="82">
        <f>(1469000/5431000)*100</f>
        <v>27.048425704290185</v>
      </c>
      <c r="R46" s="82">
        <f>(1519000/5400000)*100</f>
        <v>28.129629629629633</v>
      </c>
      <c r="S46" s="82">
        <f>(1558387/(5381733-24246))*100</f>
        <v>29.088022052130036</v>
      </c>
      <c r="T46" s="82">
        <v>29.9</v>
      </c>
      <c r="U46" s="82">
        <v>30.6</v>
      </c>
      <c r="V46" s="82">
        <v>31.2</v>
      </c>
      <c r="W46" s="115">
        <v>31.7</v>
      </c>
    </row>
    <row r="47" spans="1:23" s="25" customFormat="1" ht="30" customHeight="1" thickBot="1" x14ac:dyDescent="0.2">
      <c r="A47" s="22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S47" s="109"/>
      <c r="T47" s="109"/>
      <c r="U47" s="109"/>
      <c r="V47" s="109"/>
    </row>
    <row r="48" spans="1:23" s="21" customFormat="1" ht="24" customHeight="1" x14ac:dyDescent="0.15">
      <c r="A48" s="19"/>
      <c r="B48" s="136"/>
      <c r="C48" s="137"/>
      <c r="D48" s="119" t="s">
        <v>151</v>
      </c>
      <c r="E48" s="12" t="s">
        <v>212</v>
      </c>
      <c r="F48" s="116" t="s">
        <v>214</v>
      </c>
    </row>
    <row r="49" spans="1:23" s="21" customFormat="1" ht="14.1" customHeight="1" thickBot="1" x14ac:dyDescent="0.2">
      <c r="A49" s="19"/>
      <c r="B49" s="138"/>
      <c r="C49" s="139"/>
      <c r="D49" s="120" t="s">
        <v>215</v>
      </c>
      <c r="E49" s="46" t="s">
        <v>216</v>
      </c>
      <c r="F49" s="117" t="s">
        <v>217</v>
      </c>
    </row>
    <row r="50" spans="1:23" s="21" customFormat="1" ht="20.100000000000001" customHeight="1" thickTop="1" x14ac:dyDescent="0.15">
      <c r="A50" s="19"/>
      <c r="B50" s="146" t="s">
        <v>98</v>
      </c>
      <c r="C50" s="87" t="s">
        <v>96</v>
      </c>
      <c r="D50" s="121">
        <v>59.5</v>
      </c>
      <c r="E50" s="77">
        <v>59.4</v>
      </c>
      <c r="F50" s="127">
        <v>59.4</v>
      </c>
    </row>
    <row r="51" spans="1:23" s="21" customFormat="1" ht="20.100000000000001" customHeight="1" x14ac:dyDescent="0.15">
      <c r="A51" s="19"/>
      <c r="B51" s="141"/>
      <c r="C51" s="88" t="s">
        <v>97</v>
      </c>
      <c r="D51" s="122">
        <v>57.2</v>
      </c>
      <c r="E51" s="75">
        <v>57</v>
      </c>
      <c r="F51" s="128">
        <v>56.9</v>
      </c>
    </row>
    <row r="52" spans="1:23" s="30" customFormat="1" ht="20.100000000000001" customHeight="1" x14ac:dyDescent="0.15">
      <c r="A52" s="28"/>
      <c r="B52" s="132" t="s">
        <v>95</v>
      </c>
      <c r="C52" s="89" t="s">
        <v>96</v>
      </c>
      <c r="D52" s="123">
        <v>11.9</v>
      </c>
      <c r="E52" s="54">
        <v>11.8</v>
      </c>
      <c r="F52" s="129">
        <v>11.6</v>
      </c>
    </row>
    <row r="53" spans="1:23" s="30" customFormat="1" ht="20.100000000000001" customHeight="1" x14ac:dyDescent="0.15">
      <c r="A53" s="28"/>
      <c r="B53" s="133"/>
      <c r="C53" s="90" t="s">
        <v>97</v>
      </c>
      <c r="D53" s="124">
        <v>10.7</v>
      </c>
      <c r="E53" s="79">
        <v>10.5</v>
      </c>
      <c r="F53" s="113">
        <v>10.3</v>
      </c>
    </row>
    <row r="54" spans="1:23" s="99" customFormat="1" ht="20.100000000000001" customHeight="1" x14ac:dyDescent="0.15">
      <c r="A54" s="93"/>
      <c r="B54" s="134" t="s">
        <v>158</v>
      </c>
      <c r="C54" s="91" t="s">
        <v>96</v>
      </c>
      <c r="D54" s="125">
        <v>28.6</v>
      </c>
      <c r="E54" s="97">
        <v>28.9</v>
      </c>
      <c r="F54" s="130">
        <v>29</v>
      </c>
    </row>
    <row r="55" spans="1:23" s="21" customFormat="1" ht="18.75" customHeight="1" thickBot="1" x14ac:dyDescent="0.2">
      <c r="A55" s="19"/>
      <c r="B55" s="135"/>
      <c r="C55" s="92" t="s">
        <v>160</v>
      </c>
      <c r="D55" s="126">
        <v>32.1</v>
      </c>
      <c r="E55" s="82">
        <v>32.5</v>
      </c>
      <c r="F55" s="115">
        <v>32.799999999999997</v>
      </c>
      <c r="W55" s="20"/>
    </row>
    <row r="56" spans="1:23" s="26" customFormat="1" x14ac:dyDescent="0.15">
      <c r="A56" s="27"/>
      <c r="B56" s="27"/>
      <c r="C56" s="27"/>
      <c r="D56" s="27"/>
      <c r="E56" s="3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5"/>
      <c r="R56" s="45"/>
      <c r="S56" s="45"/>
      <c r="T56" s="27"/>
      <c r="U56" s="27"/>
      <c r="W56" s="118" t="s">
        <v>210</v>
      </c>
    </row>
  </sheetData>
  <mergeCells count="24">
    <mergeCell ref="B9:B10"/>
    <mergeCell ref="B48:C49"/>
    <mergeCell ref="B50:B51"/>
    <mergeCell ref="B39:C40"/>
    <mergeCell ref="B34:B35"/>
    <mergeCell ref="B36:B37"/>
    <mergeCell ref="B30:C31"/>
    <mergeCell ref="B21:C22"/>
    <mergeCell ref="B52:B53"/>
    <mergeCell ref="B54:B55"/>
    <mergeCell ref="B3:C4"/>
    <mergeCell ref="B12:C13"/>
    <mergeCell ref="B14:B15"/>
    <mergeCell ref="B16:B17"/>
    <mergeCell ref="B18:B19"/>
    <mergeCell ref="B41:B42"/>
    <mergeCell ref="B43:B44"/>
    <mergeCell ref="B45:B46"/>
    <mergeCell ref="B23:B24"/>
    <mergeCell ref="B25:B26"/>
    <mergeCell ref="B27:B28"/>
    <mergeCell ref="B32:B33"/>
    <mergeCell ref="B5:B6"/>
    <mergeCell ref="B7:B8"/>
  </mergeCells>
  <phoneticPr fontId="2"/>
  <pageMargins left="0.31496062992125984" right="0" top="0.55118110236220474" bottom="0.15748031496062992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</vt:lpstr>
      <vt:lpstr>'03'!Print_Area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Windows ユーザー</cp:lastModifiedBy>
  <cp:lastPrinted>2023-02-01T06:01:07Z</cp:lastPrinted>
  <dcterms:created xsi:type="dcterms:W3CDTF">2014-10-03T08:16:23Z</dcterms:created>
  <dcterms:modified xsi:type="dcterms:W3CDTF">2023-07-20T04:37:00Z</dcterms:modified>
</cp:coreProperties>
</file>